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1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lfredo\Documents\AMATITAN 21-24\2024\NOMINAS\3 MARZO\2DA QUINCENA A DE MARZO\"/>
    </mc:Choice>
  </mc:AlternateContent>
  <xr:revisionPtr revIDLastSave="0" documentId="13_ncr:1_{F233EC2C-26C4-49E5-8072-E5E9BBAA3DE1}" xr6:coauthVersionLast="47" xr6:coauthVersionMax="47" xr10:uidLastSave="{00000000-0000-0000-0000-000000000000}"/>
  <bookViews>
    <workbookView xWindow="-120" yWindow="-120" windowWidth="29040" windowHeight="15840" tabRatio="674" activeTab="4" xr2:uid="{00000000-000D-0000-FFFF-FFFF00000000}"/>
  </bookViews>
  <sheets>
    <sheet name="SINDICATO" sheetId="52" r:id="rId1"/>
    <sheet name="SEGURIDAD " sheetId="44" r:id="rId2"/>
    <sheet name="eventual" sheetId="27" r:id="rId3"/>
    <sheet name="CONFIANZA" sheetId="13" r:id="rId4"/>
    <sheet name="delegados 2023" sheetId="20" r:id="rId5"/>
    <sheet name="OP" sheetId="47" state="hidden" r:id="rId6"/>
    <sheet name="BANORTE " sheetId="46" state="hidden" r:id="rId7"/>
    <sheet name="Hoja1" sheetId="56" state="hidden" r:id="rId8"/>
    <sheet name="ISR" sheetId="49" state="hidden" r:id="rId9"/>
    <sheet name="Nos vemos segura" sheetId="53" state="hidden" r:id="rId10"/>
    <sheet name="Secovin" sheetId="55" state="hidden" r:id="rId11"/>
  </sheets>
  <definedNames>
    <definedName name="_xlnm.Print_Area" localSheetId="6">'BANORTE '!$C$3:$E$46</definedName>
    <definedName name="_xlnm.Print_Area" localSheetId="3">CONFIANZA!$B$110:$O$147</definedName>
    <definedName name="_xlnm.Print_Area" localSheetId="4">'delegados 2023'!$D$1:$L$44</definedName>
    <definedName name="_xlnm.Print_Area" localSheetId="2">eventual!$B$141:$K$219</definedName>
    <definedName name="_xlnm.Print_Area" localSheetId="5">OP!$B$1:$D$99</definedName>
    <definedName name="_xlnm.Print_Area" localSheetId="1">'SEGURIDAD '!$B$23:$S$53</definedName>
    <definedName name="_xlnm.Print_Area" localSheetId="0">SINDICATO!$B$67:$R$99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Q47" i="44" l="1"/>
  <c r="P47" i="44"/>
  <c r="O47" i="44"/>
  <c r="N47" i="44"/>
  <c r="M47" i="44"/>
  <c r="L47" i="44"/>
  <c r="K47" i="44"/>
  <c r="J47" i="44"/>
  <c r="I47" i="44"/>
  <c r="H47" i="44"/>
  <c r="G47" i="44"/>
  <c r="F47" i="44"/>
  <c r="E47" i="44"/>
  <c r="I37" i="52"/>
  <c r="G214" i="27"/>
  <c r="I33" i="52"/>
  <c r="E44" i="44" l="1"/>
  <c r="G44" i="44" s="1"/>
  <c r="Q44" i="44" s="1"/>
  <c r="J15" i="46" s="1"/>
  <c r="J7" i="46" l="1"/>
  <c r="J6" i="46"/>
  <c r="E21" i="46"/>
  <c r="E20" i="46"/>
  <c r="J69" i="13"/>
  <c r="J126" i="13"/>
  <c r="H69" i="27"/>
  <c r="G65" i="27"/>
  <c r="I90" i="52"/>
  <c r="G46" i="27"/>
  <c r="E24" i="52"/>
  <c r="J35" i="46"/>
  <c r="E43" i="44"/>
  <c r="E13" i="44"/>
  <c r="E39" i="44"/>
  <c r="G27" i="44"/>
  <c r="Q27" i="44" s="1"/>
  <c r="G28" i="52"/>
  <c r="G43" i="44"/>
  <c r="J12" i="27"/>
  <c r="G111" i="27"/>
  <c r="M99" i="27"/>
  <c r="M81" i="52"/>
  <c r="M66" i="52"/>
  <c r="M52" i="52"/>
  <c r="N66" i="52"/>
  <c r="M84" i="52"/>
  <c r="M91" i="52"/>
  <c r="M62" i="52"/>
  <c r="N62" i="52"/>
  <c r="M38" i="52"/>
  <c r="N38" i="52"/>
  <c r="N31" i="52"/>
  <c r="M28" i="52"/>
  <c r="N28" i="52"/>
  <c r="N21" i="52"/>
  <c r="N17" i="52"/>
  <c r="M21" i="52"/>
  <c r="M17" i="52"/>
  <c r="N91" i="52"/>
  <c r="N81" i="52"/>
  <c r="N72" i="52"/>
  <c r="N52" i="52"/>
  <c r="G66" i="52"/>
  <c r="G62" i="52"/>
  <c r="G52" i="52"/>
  <c r="G38" i="52"/>
  <c r="G17" i="52"/>
  <c r="Q43" i="44" l="1"/>
  <c r="M31" i="52"/>
  <c r="M11" i="52"/>
  <c r="N87" i="52"/>
  <c r="N11" i="52"/>
  <c r="J61" i="13"/>
  <c r="H205" i="27"/>
  <c r="G45" i="44"/>
  <c r="Q45" i="44" s="1"/>
  <c r="J14" i="46" s="1"/>
  <c r="G176" i="27"/>
  <c r="H19" i="55"/>
  <c r="I18" i="53"/>
  <c r="J86" i="46"/>
  <c r="J34" i="46"/>
  <c r="J33" i="46"/>
  <c r="J32" i="46"/>
  <c r="J31" i="46"/>
  <c r="J30" i="46"/>
  <c r="J29" i="46"/>
  <c r="J28" i="46"/>
  <c r="J27" i="46"/>
  <c r="J26" i="46"/>
  <c r="J25" i="46"/>
  <c r="J24" i="46"/>
  <c r="J23" i="46"/>
  <c r="J22" i="46"/>
  <c r="J5" i="46"/>
  <c r="J4" i="46"/>
  <c r="J35" i="20"/>
  <c r="K144" i="13"/>
  <c r="F144" i="13"/>
  <c r="H142" i="13"/>
  <c r="G142" i="13"/>
  <c r="F142" i="13"/>
  <c r="L141" i="13"/>
  <c r="L142" i="13" s="1"/>
  <c r="G141" i="13"/>
  <c r="K139" i="13"/>
  <c r="J139" i="13"/>
  <c r="I139" i="13"/>
  <c r="H139" i="13"/>
  <c r="G139" i="13"/>
  <c r="F139" i="13"/>
  <c r="L138" i="13"/>
  <c r="L139" i="13" s="1"/>
  <c r="G138" i="13"/>
  <c r="L136" i="13"/>
  <c r="K136" i="13"/>
  <c r="J136" i="13"/>
  <c r="I136" i="13"/>
  <c r="H136" i="13"/>
  <c r="G136" i="13"/>
  <c r="F136" i="13"/>
  <c r="L135" i="13"/>
  <c r="G135" i="13"/>
  <c r="L133" i="13"/>
  <c r="K133" i="13"/>
  <c r="J133" i="13"/>
  <c r="I133" i="13"/>
  <c r="H133" i="13"/>
  <c r="G133" i="13"/>
  <c r="F133" i="13"/>
  <c r="L132" i="13"/>
  <c r="G132" i="13"/>
  <c r="K130" i="13"/>
  <c r="J130" i="13"/>
  <c r="I130" i="13"/>
  <c r="H130" i="13"/>
  <c r="G130" i="13"/>
  <c r="F130" i="13"/>
  <c r="L129" i="13"/>
  <c r="L130" i="13" s="1"/>
  <c r="G129" i="13"/>
  <c r="K127" i="13"/>
  <c r="J127" i="13"/>
  <c r="I127" i="13"/>
  <c r="H127" i="13"/>
  <c r="G127" i="13"/>
  <c r="F127" i="13"/>
  <c r="L126" i="13"/>
  <c r="L127" i="13" s="1"/>
  <c r="G126" i="13"/>
  <c r="L124" i="13"/>
  <c r="K124" i="13"/>
  <c r="J124" i="13"/>
  <c r="I124" i="13"/>
  <c r="H124" i="13"/>
  <c r="G124" i="13"/>
  <c r="F124" i="13"/>
  <c r="L123" i="13"/>
  <c r="G123" i="13"/>
  <c r="K121" i="13"/>
  <c r="J121" i="13"/>
  <c r="I121" i="13"/>
  <c r="H121" i="13"/>
  <c r="G121" i="13"/>
  <c r="F121" i="13"/>
  <c r="L120" i="13"/>
  <c r="L121" i="13" s="1"/>
  <c r="G120" i="13"/>
  <c r="L118" i="13"/>
  <c r="K118" i="13"/>
  <c r="J118" i="13"/>
  <c r="I118" i="13"/>
  <c r="H118" i="13"/>
  <c r="G118" i="13"/>
  <c r="F118" i="13"/>
  <c r="L117" i="13"/>
  <c r="G117" i="13"/>
  <c r="L115" i="13"/>
  <c r="K115" i="13"/>
  <c r="J115" i="13"/>
  <c r="I115" i="13"/>
  <c r="H115" i="13"/>
  <c r="G115" i="13"/>
  <c r="F115" i="13"/>
  <c r="L114" i="13"/>
  <c r="G114" i="13"/>
  <c r="L109" i="13"/>
  <c r="K109" i="13"/>
  <c r="J109" i="13"/>
  <c r="I109" i="13"/>
  <c r="H109" i="13"/>
  <c r="G109" i="13"/>
  <c r="F109" i="13"/>
  <c r="L108" i="13"/>
  <c r="G108" i="13"/>
  <c r="K106" i="13"/>
  <c r="J106" i="13"/>
  <c r="I106" i="13"/>
  <c r="H106" i="13"/>
  <c r="G106" i="13"/>
  <c r="F106" i="13"/>
  <c r="L105" i="13"/>
  <c r="L106" i="13" s="1"/>
  <c r="G105" i="13"/>
  <c r="L103" i="13"/>
  <c r="K103" i="13"/>
  <c r="J103" i="13"/>
  <c r="I103" i="13"/>
  <c r="H103" i="13"/>
  <c r="G103" i="13"/>
  <c r="F103" i="13"/>
  <c r="L102" i="13"/>
  <c r="G102" i="13"/>
  <c r="L100" i="13"/>
  <c r="K100" i="13"/>
  <c r="J100" i="13"/>
  <c r="I100" i="13"/>
  <c r="H100" i="13"/>
  <c r="G100" i="13"/>
  <c r="F100" i="13"/>
  <c r="L99" i="13"/>
  <c r="G99" i="13"/>
  <c r="L97" i="13"/>
  <c r="K97" i="13"/>
  <c r="J97" i="13"/>
  <c r="I97" i="13"/>
  <c r="H97" i="13"/>
  <c r="G97" i="13"/>
  <c r="F97" i="13"/>
  <c r="L96" i="13"/>
  <c r="G96" i="13"/>
  <c r="K94" i="13"/>
  <c r="J94" i="13"/>
  <c r="I94" i="13"/>
  <c r="H94" i="13"/>
  <c r="G94" i="13"/>
  <c r="F94" i="13"/>
  <c r="L93" i="13"/>
  <c r="L94" i="13" s="1"/>
  <c r="G93" i="13"/>
  <c r="L91" i="13"/>
  <c r="K91" i="13"/>
  <c r="J91" i="13"/>
  <c r="I91" i="13"/>
  <c r="H91" i="13"/>
  <c r="G91" i="13"/>
  <c r="F91" i="13"/>
  <c r="L90" i="13"/>
  <c r="G90" i="13"/>
  <c r="K88" i="13"/>
  <c r="J88" i="13"/>
  <c r="I88" i="13"/>
  <c r="H88" i="13"/>
  <c r="G88" i="13"/>
  <c r="F88" i="13"/>
  <c r="L87" i="13"/>
  <c r="L88" i="13" s="1"/>
  <c r="G87" i="13"/>
  <c r="L80" i="13"/>
  <c r="K80" i="13"/>
  <c r="J80" i="13"/>
  <c r="I80" i="13"/>
  <c r="H80" i="13"/>
  <c r="G80" i="13"/>
  <c r="F80" i="13"/>
  <c r="L79" i="13"/>
  <c r="G79" i="13"/>
  <c r="L77" i="13"/>
  <c r="K77" i="13"/>
  <c r="J77" i="13"/>
  <c r="I77" i="13"/>
  <c r="H77" i="13"/>
  <c r="G77" i="13"/>
  <c r="F77" i="13"/>
  <c r="L76" i="13"/>
  <c r="G76" i="13"/>
  <c r="K74" i="13"/>
  <c r="J74" i="13"/>
  <c r="I74" i="13"/>
  <c r="H74" i="13"/>
  <c r="G74" i="13"/>
  <c r="F74" i="13"/>
  <c r="L73" i="13"/>
  <c r="L74" i="13" s="1"/>
  <c r="G73" i="13"/>
  <c r="L70" i="13"/>
  <c r="K70" i="13"/>
  <c r="J70" i="13"/>
  <c r="I70" i="13"/>
  <c r="H70" i="13"/>
  <c r="G70" i="13"/>
  <c r="F70" i="13"/>
  <c r="L69" i="13"/>
  <c r="G69" i="13"/>
  <c r="L67" i="13"/>
  <c r="K67" i="13"/>
  <c r="J67" i="13"/>
  <c r="I67" i="13"/>
  <c r="G67" i="13"/>
  <c r="F67" i="13"/>
  <c r="L66" i="13"/>
  <c r="G66" i="13"/>
  <c r="L64" i="13"/>
  <c r="K64" i="13"/>
  <c r="J64" i="13"/>
  <c r="I64" i="13"/>
  <c r="H64" i="13"/>
  <c r="G64" i="13"/>
  <c r="F64" i="13"/>
  <c r="L63" i="13"/>
  <c r="G63" i="13"/>
  <c r="K61" i="13"/>
  <c r="I61" i="13"/>
  <c r="H61" i="13"/>
  <c r="G61" i="13"/>
  <c r="F61" i="13"/>
  <c r="L60" i="13"/>
  <c r="L61" i="13" s="1"/>
  <c r="G60" i="13"/>
  <c r="L58" i="13"/>
  <c r="K58" i="13"/>
  <c r="J58" i="13"/>
  <c r="I58" i="13"/>
  <c r="H58" i="13"/>
  <c r="G58" i="13"/>
  <c r="F58" i="13"/>
  <c r="L57" i="13"/>
  <c r="G57" i="13"/>
  <c r="L50" i="13"/>
  <c r="K50" i="13"/>
  <c r="J50" i="13"/>
  <c r="I50" i="13"/>
  <c r="H50" i="13"/>
  <c r="G50" i="13"/>
  <c r="F50" i="13"/>
  <c r="L49" i="13"/>
  <c r="G49" i="13"/>
  <c r="L47" i="13"/>
  <c r="K47" i="13"/>
  <c r="J47" i="13"/>
  <c r="I47" i="13"/>
  <c r="H47" i="13"/>
  <c r="G47" i="13"/>
  <c r="F47" i="13"/>
  <c r="L46" i="13"/>
  <c r="G46" i="13"/>
  <c r="L45" i="13"/>
  <c r="G45" i="13"/>
  <c r="L43" i="13"/>
  <c r="K43" i="13"/>
  <c r="J43" i="13"/>
  <c r="I43" i="13"/>
  <c r="H43" i="13"/>
  <c r="G43" i="13"/>
  <c r="F43" i="13"/>
  <c r="L42" i="13"/>
  <c r="G42" i="13"/>
  <c r="L41" i="13"/>
  <c r="G41" i="13"/>
  <c r="L40" i="13"/>
  <c r="G40" i="13"/>
  <c r="K38" i="13"/>
  <c r="J38" i="13"/>
  <c r="I38" i="13"/>
  <c r="H38" i="13"/>
  <c r="G38" i="13"/>
  <c r="F38" i="13"/>
  <c r="L37" i="13"/>
  <c r="L38" i="13" s="1"/>
  <c r="G37" i="13"/>
  <c r="L35" i="13"/>
  <c r="K35" i="13"/>
  <c r="J35" i="13"/>
  <c r="I35" i="13"/>
  <c r="H35" i="13"/>
  <c r="G35" i="13"/>
  <c r="F35" i="13"/>
  <c r="N34" i="13"/>
  <c r="L34" i="13"/>
  <c r="G34" i="13"/>
  <c r="L32" i="13"/>
  <c r="K32" i="13"/>
  <c r="J32" i="13"/>
  <c r="I32" i="13"/>
  <c r="G32" i="13"/>
  <c r="F32" i="13"/>
  <c r="L31" i="13"/>
  <c r="G31" i="13"/>
  <c r="F31" i="13"/>
  <c r="L29" i="13"/>
  <c r="K29" i="13"/>
  <c r="J29" i="13"/>
  <c r="I29" i="13"/>
  <c r="H29" i="13"/>
  <c r="G29" i="13"/>
  <c r="F29" i="13"/>
  <c r="L28" i="13"/>
  <c r="G28" i="13"/>
  <c r="L27" i="13"/>
  <c r="G27" i="13"/>
  <c r="K22" i="13"/>
  <c r="I22" i="13"/>
  <c r="H22" i="13"/>
  <c r="G22" i="13"/>
  <c r="F22" i="13"/>
  <c r="L21" i="13"/>
  <c r="G21" i="13"/>
  <c r="L20" i="13"/>
  <c r="G20" i="13"/>
  <c r="L19" i="13"/>
  <c r="G19" i="13"/>
  <c r="L18" i="13"/>
  <c r="G18" i="13"/>
  <c r="L17" i="13"/>
  <c r="G17" i="13"/>
  <c r="L16" i="13"/>
  <c r="G16" i="13"/>
  <c r="L15" i="13"/>
  <c r="G15" i="13"/>
  <c r="L14" i="13"/>
  <c r="L22" i="13" s="1"/>
  <c r="G14" i="13"/>
  <c r="L13" i="13"/>
  <c r="G13" i="13"/>
  <c r="I11" i="13"/>
  <c r="H11" i="13"/>
  <c r="G11" i="13"/>
  <c r="G144" i="13" s="1"/>
  <c r="F11" i="13"/>
  <c r="G10" i="13"/>
  <c r="L10" i="13" s="1"/>
  <c r="L9" i="13"/>
  <c r="G9" i="13"/>
  <c r="G8" i="13"/>
  <c r="L8" i="13" s="1"/>
  <c r="R219" i="27"/>
  <c r="I212" i="27"/>
  <c r="H212" i="27"/>
  <c r="G212" i="27"/>
  <c r="F212" i="27"/>
  <c r="J211" i="27"/>
  <c r="J210" i="27"/>
  <c r="J209" i="27"/>
  <c r="J208" i="27"/>
  <c r="J207" i="27"/>
  <c r="I205" i="27"/>
  <c r="G205" i="27"/>
  <c r="F205" i="27"/>
  <c r="J204" i="27"/>
  <c r="J205" i="27" s="1"/>
  <c r="I202" i="27"/>
  <c r="H202" i="27"/>
  <c r="G202" i="27"/>
  <c r="F202" i="27"/>
  <c r="J201" i="27"/>
  <c r="J200" i="27"/>
  <c r="I198" i="27"/>
  <c r="G198" i="27"/>
  <c r="F198" i="27"/>
  <c r="J197" i="27"/>
  <c r="J198" i="27" s="1"/>
  <c r="I195" i="27"/>
  <c r="H195" i="27"/>
  <c r="G195" i="27"/>
  <c r="F195" i="27"/>
  <c r="J194" i="27"/>
  <c r="J195" i="27" s="1"/>
  <c r="I192" i="27"/>
  <c r="H192" i="27"/>
  <c r="G192" i="27"/>
  <c r="F192" i="27"/>
  <c r="J191" i="27"/>
  <c r="J190" i="27"/>
  <c r="I187" i="27"/>
  <c r="H187" i="27"/>
  <c r="G187" i="27"/>
  <c r="F187" i="27"/>
  <c r="J186" i="27"/>
  <c r="J187" i="27" s="1"/>
  <c r="I183" i="27"/>
  <c r="H183" i="27"/>
  <c r="G183" i="27"/>
  <c r="F183" i="27"/>
  <c r="J182" i="27"/>
  <c r="J66" i="46" s="1"/>
  <c r="J181" i="27"/>
  <c r="I178" i="27"/>
  <c r="H178" i="27"/>
  <c r="F178" i="27"/>
  <c r="J177" i="27"/>
  <c r="J176" i="27"/>
  <c r="J173" i="27"/>
  <c r="I173" i="27"/>
  <c r="H173" i="27"/>
  <c r="G173" i="27"/>
  <c r="I167" i="27"/>
  <c r="H167" i="27"/>
  <c r="G167" i="27"/>
  <c r="F167" i="27"/>
  <c r="J166" i="27"/>
  <c r="F163" i="27"/>
  <c r="F159" i="27"/>
  <c r="J159" i="27" s="1"/>
  <c r="J158" i="27"/>
  <c r="I156" i="27"/>
  <c r="H156" i="27"/>
  <c r="G156" i="27"/>
  <c r="F156" i="27"/>
  <c r="J155" i="27"/>
  <c r="J153" i="27"/>
  <c r="J65" i="46" s="1"/>
  <c r="J152" i="27"/>
  <c r="J151" i="27"/>
  <c r="I149" i="27"/>
  <c r="H149" i="27"/>
  <c r="G149" i="27"/>
  <c r="F149" i="27"/>
  <c r="J148" i="27"/>
  <c r="J149" i="27" s="1"/>
  <c r="I146" i="27"/>
  <c r="H146" i="27"/>
  <c r="G146" i="27"/>
  <c r="F146" i="27"/>
  <c r="J145" i="27"/>
  <c r="J146" i="27" s="1"/>
  <c r="H140" i="27"/>
  <c r="F140" i="27"/>
  <c r="J139" i="27"/>
  <c r="J140" i="27" s="1"/>
  <c r="I137" i="27"/>
  <c r="H137" i="27"/>
  <c r="F137" i="27"/>
  <c r="J135" i="27"/>
  <c r="J134" i="27"/>
  <c r="J137" i="27" s="1"/>
  <c r="I131" i="27"/>
  <c r="H131" i="27"/>
  <c r="G131" i="27"/>
  <c r="F131" i="27"/>
  <c r="J130" i="27"/>
  <c r="J131" i="27" s="1"/>
  <c r="I128" i="27"/>
  <c r="H128" i="27"/>
  <c r="G128" i="27"/>
  <c r="F128" i="27"/>
  <c r="J127" i="27"/>
  <c r="E9" i="46" s="1"/>
  <c r="E11" i="46" s="1"/>
  <c r="J126" i="27"/>
  <c r="J48" i="46" s="1"/>
  <c r="J125" i="27"/>
  <c r="Z122" i="27"/>
  <c r="I119" i="27"/>
  <c r="H119" i="27"/>
  <c r="G119" i="27"/>
  <c r="F119" i="27"/>
  <c r="J118" i="27"/>
  <c r="J117" i="27"/>
  <c r="J116" i="27"/>
  <c r="J119" i="27" s="1"/>
  <c r="I111" i="27"/>
  <c r="H111" i="27"/>
  <c r="F111" i="27"/>
  <c r="J109" i="27"/>
  <c r="J108" i="27"/>
  <c r="J107" i="27"/>
  <c r="J106" i="27"/>
  <c r="J105" i="27"/>
  <c r="J104" i="27"/>
  <c r="J103" i="27"/>
  <c r="J102" i="27"/>
  <c r="J69" i="46" s="1"/>
  <c r="J101" i="27"/>
  <c r="J47" i="46" s="1"/>
  <c r="J100" i="27"/>
  <c r="J61" i="46" s="1"/>
  <c r="J99" i="27"/>
  <c r="N98" i="27"/>
  <c r="J98" i="27"/>
  <c r="J96" i="27"/>
  <c r="J93" i="27"/>
  <c r="I89" i="27"/>
  <c r="H89" i="27"/>
  <c r="G89" i="27"/>
  <c r="F89" i="27"/>
  <c r="J88" i="27"/>
  <c r="J87" i="27"/>
  <c r="J86" i="27"/>
  <c r="I80" i="27"/>
  <c r="H80" i="27"/>
  <c r="G80" i="27"/>
  <c r="F80" i="27"/>
  <c r="J79" i="27"/>
  <c r="J78" i="27"/>
  <c r="J38" i="46" s="1"/>
  <c r="J39" i="46" s="1"/>
  <c r="I76" i="27"/>
  <c r="F76" i="27"/>
  <c r="J75" i="27"/>
  <c r="J74" i="27"/>
  <c r="J49" i="46" s="1"/>
  <c r="J71" i="27"/>
  <c r="J64" i="46" s="1"/>
  <c r="J70" i="27"/>
  <c r="J57" i="46" s="1"/>
  <c r="G76" i="27"/>
  <c r="J68" i="27"/>
  <c r="I66" i="27"/>
  <c r="H66" i="27"/>
  <c r="F66" i="27"/>
  <c r="J65" i="27"/>
  <c r="J64" i="27"/>
  <c r="J62" i="27"/>
  <c r="I60" i="27"/>
  <c r="H60" i="27"/>
  <c r="F60" i="27"/>
  <c r="J59" i="27"/>
  <c r="J58" i="27"/>
  <c r="J68" i="46" s="1"/>
  <c r="J57" i="27"/>
  <c r="J59" i="46" s="1"/>
  <c r="J55" i="27"/>
  <c r="J54" i="27"/>
  <c r="J53" i="27"/>
  <c r="J46" i="46" s="1"/>
  <c r="J52" i="27"/>
  <c r="J51" i="46" s="1"/>
  <c r="J51" i="27"/>
  <c r="J52" i="46" s="1"/>
  <c r="J50" i="27"/>
  <c r="J62" i="46" s="1"/>
  <c r="C50" i="27"/>
  <c r="J49" i="27"/>
  <c r="J63" i="46" s="1"/>
  <c r="J47" i="27"/>
  <c r="J67" i="46" s="1"/>
  <c r="J46" i="27"/>
  <c r="J54" i="46" s="1"/>
  <c r="J45" i="27"/>
  <c r="J44" i="27"/>
  <c r="J43" i="27"/>
  <c r="J42" i="27"/>
  <c r="J41" i="27"/>
  <c r="J40" i="27"/>
  <c r="J39" i="27"/>
  <c r="J37" i="27"/>
  <c r="J36" i="27"/>
  <c r="G30" i="27"/>
  <c r="G60" i="27" s="1"/>
  <c r="J29" i="27"/>
  <c r="J28" i="27"/>
  <c r="Q27" i="27"/>
  <c r="I26" i="27"/>
  <c r="H26" i="27"/>
  <c r="G26" i="27"/>
  <c r="F26" i="27"/>
  <c r="J25" i="27"/>
  <c r="J24" i="27"/>
  <c r="J23" i="27"/>
  <c r="J50" i="46" s="1"/>
  <c r="J22" i="27"/>
  <c r="J56" i="46" s="1"/>
  <c r="J21" i="27"/>
  <c r="J55" i="46" s="1"/>
  <c r="J20" i="27"/>
  <c r="J58" i="46" s="1"/>
  <c r="J19" i="27"/>
  <c r="I17" i="27"/>
  <c r="H17" i="27"/>
  <c r="G17" i="27"/>
  <c r="F17" i="27"/>
  <c r="J16" i="27"/>
  <c r="J17" i="27" s="1"/>
  <c r="I14" i="27"/>
  <c r="H14" i="27"/>
  <c r="G14" i="27"/>
  <c r="F14" i="27"/>
  <c r="J13" i="27"/>
  <c r="I10" i="27"/>
  <c r="H10" i="27"/>
  <c r="G10" i="27"/>
  <c r="F10" i="27"/>
  <c r="J9" i="27"/>
  <c r="J10" i="27" s="1"/>
  <c r="G42" i="44"/>
  <c r="Q42" i="44" s="1"/>
  <c r="G41" i="44"/>
  <c r="Q41" i="44" s="1"/>
  <c r="G40" i="44"/>
  <c r="G39" i="44"/>
  <c r="Q39" i="44" s="1"/>
  <c r="G38" i="44"/>
  <c r="Q38" i="44" s="1"/>
  <c r="G37" i="44"/>
  <c r="Q37" i="44" s="1"/>
  <c r="G36" i="44"/>
  <c r="Q36" i="44" s="1"/>
  <c r="G35" i="44"/>
  <c r="Q35" i="44" s="1"/>
  <c r="G34" i="44"/>
  <c r="Q34" i="44" s="1"/>
  <c r="G33" i="44"/>
  <c r="Q33" i="44" s="1"/>
  <c r="G32" i="44"/>
  <c r="Q32" i="44" s="1"/>
  <c r="G31" i="44"/>
  <c r="Q31" i="44" s="1"/>
  <c r="G30" i="44"/>
  <c r="Q30" i="44" s="1"/>
  <c r="G29" i="44"/>
  <c r="Q29" i="44" s="1"/>
  <c r="J11" i="46" s="1"/>
  <c r="G28" i="44"/>
  <c r="Q28" i="44" s="1"/>
  <c r="G26" i="44"/>
  <c r="Q26" i="44" s="1"/>
  <c r="G22" i="44"/>
  <c r="Q22" i="44" s="1"/>
  <c r="G21" i="44"/>
  <c r="Q21" i="44" s="1"/>
  <c r="G20" i="44"/>
  <c r="Q20" i="44" s="1"/>
  <c r="G19" i="44"/>
  <c r="Q19" i="44" s="1"/>
  <c r="G18" i="44"/>
  <c r="Q18" i="44" s="1"/>
  <c r="G17" i="44"/>
  <c r="Q17" i="44" s="1"/>
  <c r="G13" i="44"/>
  <c r="G12" i="44"/>
  <c r="Q12" i="44" s="1"/>
  <c r="G11" i="44"/>
  <c r="Q11" i="44" s="1"/>
  <c r="G10" i="44"/>
  <c r="Q10" i="44" s="1"/>
  <c r="G9" i="44"/>
  <c r="Q9" i="44" s="1"/>
  <c r="G8" i="44"/>
  <c r="Q8" i="44" s="1"/>
  <c r="G7" i="44"/>
  <c r="Q7" i="44" s="1"/>
  <c r="G6" i="44"/>
  <c r="L91" i="52"/>
  <c r="K91" i="52"/>
  <c r="I91" i="52"/>
  <c r="G91" i="52"/>
  <c r="F91" i="52"/>
  <c r="E91" i="52"/>
  <c r="J90" i="52"/>
  <c r="J91" i="52" s="1"/>
  <c r="H90" i="52"/>
  <c r="J89" i="52"/>
  <c r="H89" i="52"/>
  <c r="O89" i="52" s="1"/>
  <c r="M87" i="52"/>
  <c r="L87" i="52"/>
  <c r="K87" i="52"/>
  <c r="I87" i="52"/>
  <c r="H87" i="52"/>
  <c r="G87" i="52"/>
  <c r="F87" i="52"/>
  <c r="E87" i="52"/>
  <c r="O87" i="52"/>
  <c r="J86" i="52"/>
  <c r="J87" i="52" s="1"/>
  <c r="H86" i="52"/>
  <c r="O86" i="52" s="1"/>
  <c r="N84" i="52"/>
  <c r="L84" i="52"/>
  <c r="K84" i="52"/>
  <c r="I84" i="52"/>
  <c r="H84" i="52"/>
  <c r="G84" i="52"/>
  <c r="F84" i="52"/>
  <c r="E84" i="52"/>
  <c r="J83" i="52"/>
  <c r="O83" i="52" s="1"/>
  <c r="O84" i="52" s="1"/>
  <c r="H83" i="52"/>
  <c r="L81" i="52"/>
  <c r="K81" i="52"/>
  <c r="I81" i="52"/>
  <c r="G81" i="52"/>
  <c r="E81" i="52"/>
  <c r="O80" i="52"/>
  <c r="J85" i="46" s="1"/>
  <c r="J79" i="52"/>
  <c r="H79" i="52"/>
  <c r="O79" i="52" s="1"/>
  <c r="J78" i="52"/>
  <c r="H78" i="52"/>
  <c r="O78" i="52" s="1"/>
  <c r="J77" i="52"/>
  <c r="H77" i="52"/>
  <c r="O77" i="52" s="1"/>
  <c r="O75" i="52"/>
  <c r="N75" i="52"/>
  <c r="M75" i="52"/>
  <c r="L75" i="52"/>
  <c r="K75" i="52"/>
  <c r="J75" i="52"/>
  <c r="I75" i="52"/>
  <c r="H75" i="52"/>
  <c r="G75" i="52"/>
  <c r="F75" i="52"/>
  <c r="E75" i="52"/>
  <c r="M72" i="52"/>
  <c r="L72" i="52"/>
  <c r="K72" i="52"/>
  <c r="J72" i="52"/>
  <c r="I72" i="52"/>
  <c r="H72" i="52"/>
  <c r="G72" i="52"/>
  <c r="F72" i="52"/>
  <c r="E72" i="52"/>
  <c r="O71" i="52"/>
  <c r="O72" i="52" s="1"/>
  <c r="J71" i="52"/>
  <c r="H71" i="52"/>
  <c r="L66" i="52"/>
  <c r="K66" i="52"/>
  <c r="I66" i="52"/>
  <c r="F66" i="52"/>
  <c r="E66" i="52"/>
  <c r="J65" i="52"/>
  <c r="H65" i="52"/>
  <c r="H66" i="52" s="1"/>
  <c r="J64" i="52"/>
  <c r="J66" i="52" s="1"/>
  <c r="H64" i="52"/>
  <c r="L62" i="52"/>
  <c r="K62" i="52"/>
  <c r="J62" i="52"/>
  <c r="F62" i="52"/>
  <c r="E62" i="52"/>
  <c r="J61" i="52"/>
  <c r="H61" i="52"/>
  <c r="O61" i="52" s="1"/>
  <c r="J60" i="52"/>
  <c r="H60" i="52"/>
  <c r="J59" i="52"/>
  <c r="O59" i="52"/>
  <c r="H59" i="52"/>
  <c r="J58" i="52"/>
  <c r="I62" i="52"/>
  <c r="H58" i="52"/>
  <c r="O57" i="52"/>
  <c r="J55" i="52"/>
  <c r="H55" i="52"/>
  <c r="L52" i="52"/>
  <c r="K52" i="52"/>
  <c r="I52" i="52"/>
  <c r="F52" i="52"/>
  <c r="E52" i="52"/>
  <c r="J51" i="52"/>
  <c r="H51" i="52"/>
  <c r="O51" i="52" s="1"/>
  <c r="J50" i="52"/>
  <c r="O50" i="52" s="1"/>
  <c r="E19" i="46" s="1"/>
  <c r="H50" i="52"/>
  <c r="J49" i="52"/>
  <c r="O49" i="52" s="1"/>
  <c r="J48" i="52"/>
  <c r="H48" i="52"/>
  <c r="O48" i="52" s="1"/>
  <c r="J47" i="52"/>
  <c r="H47" i="52"/>
  <c r="O47" i="52" s="1"/>
  <c r="E18" i="46" s="1"/>
  <c r="J46" i="52"/>
  <c r="O46" i="52" s="1"/>
  <c r="H46" i="52"/>
  <c r="J45" i="52"/>
  <c r="H45" i="52"/>
  <c r="O45" i="52" s="1"/>
  <c r="J84" i="46" s="1"/>
  <c r="J44" i="52"/>
  <c r="H44" i="52"/>
  <c r="J43" i="52"/>
  <c r="H43" i="52"/>
  <c r="H52" i="52" s="1"/>
  <c r="L38" i="52"/>
  <c r="K38" i="52"/>
  <c r="I38" i="52"/>
  <c r="J37" i="52"/>
  <c r="H37" i="52"/>
  <c r="O37" i="52" s="1"/>
  <c r="J35" i="52"/>
  <c r="H35" i="52"/>
  <c r="O35" i="52" s="1"/>
  <c r="J33" i="52"/>
  <c r="H33" i="52"/>
  <c r="L31" i="52"/>
  <c r="K31" i="52"/>
  <c r="I31" i="52"/>
  <c r="G31" i="52"/>
  <c r="F31" i="52"/>
  <c r="F38" i="52" s="1"/>
  <c r="E31" i="52"/>
  <c r="J30" i="52"/>
  <c r="J31" i="52" s="1"/>
  <c r="H30" i="52"/>
  <c r="H31" i="52" s="1"/>
  <c r="L28" i="52"/>
  <c r="K28" i="52"/>
  <c r="I28" i="52"/>
  <c r="F28" i="52"/>
  <c r="T27" i="52"/>
  <c r="J27" i="52"/>
  <c r="H27" i="52"/>
  <c r="O27" i="52" s="1"/>
  <c r="J26" i="52"/>
  <c r="H26" i="52"/>
  <c r="J25" i="52"/>
  <c r="H25" i="52"/>
  <c r="O25" i="52" s="1"/>
  <c r="J23" i="52"/>
  <c r="J28" i="52" s="1"/>
  <c r="H23" i="52"/>
  <c r="L21" i="52"/>
  <c r="K21" i="52"/>
  <c r="I21" i="52"/>
  <c r="G21" i="52"/>
  <c r="F21" i="52"/>
  <c r="E21" i="52"/>
  <c r="J20" i="52"/>
  <c r="H20" i="52"/>
  <c r="H21" i="52" s="1"/>
  <c r="J19" i="52"/>
  <c r="J21" i="52" s="1"/>
  <c r="L17" i="52"/>
  <c r="K17" i="52"/>
  <c r="I17" i="52"/>
  <c r="F17" i="52"/>
  <c r="E17" i="52"/>
  <c r="J16" i="52"/>
  <c r="O16" i="52" s="1"/>
  <c r="J15" i="52"/>
  <c r="H15" i="52"/>
  <c r="O15" i="52" s="1"/>
  <c r="O14" i="52"/>
  <c r="J14" i="52"/>
  <c r="H14" i="52"/>
  <c r="AA13" i="52"/>
  <c r="Z13" i="52"/>
  <c r="Y13" i="52"/>
  <c r="J13" i="52"/>
  <c r="H13" i="52"/>
  <c r="T11" i="52"/>
  <c r="L11" i="52"/>
  <c r="K11" i="52"/>
  <c r="I11" i="52"/>
  <c r="G11" i="52"/>
  <c r="G93" i="52" s="1"/>
  <c r="F11" i="52"/>
  <c r="E11" i="52"/>
  <c r="J10" i="52"/>
  <c r="J11" i="52" s="1"/>
  <c r="H10" i="52"/>
  <c r="O10" i="52" s="1"/>
  <c r="Q56" i="44" l="1"/>
  <c r="Q6" i="44"/>
  <c r="I214" i="27"/>
  <c r="AB13" i="52"/>
  <c r="H62" i="52"/>
  <c r="O64" i="52"/>
  <c r="K93" i="52"/>
  <c r="M93" i="52"/>
  <c r="O43" i="52"/>
  <c r="J84" i="52"/>
  <c r="L93" i="52"/>
  <c r="O20" i="52"/>
  <c r="O23" i="52"/>
  <c r="O26" i="52"/>
  <c r="O33" i="52"/>
  <c r="O44" i="52"/>
  <c r="O60" i="52"/>
  <c r="J81" i="52"/>
  <c r="H81" i="52"/>
  <c r="H91" i="52"/>
  <c r="O90" i="52"/>
  <c r="O91" i="52" s="1"/>
  <c r="N93" i="52"/>
  <c r="Q13" i="44"/>
  <c r="I93" i="52"/>
  <c r="L11" i="13"/>
  <c r="J78" i="46"/>
  <c r="J79" i="46" s="1"/>
  <c r="I144" i="13"/>
  <c r="J128" i="27"/>
  <c r="Q40" i="44"/>
  <c r="J144" i="13"/>
  <c r="H144" i="13"/>
  <c r="F214" i="27"/>
  <c r="J30" i="27"/>
  <c r="J111" i="27"/>
  <c r="J178" i="27"/>
  <c r="J192" i="27"/>
  <c r="J167" i="27"/>
  <c r="J183" i="27"/>
  <c r="J26" i="27"/>
  <c r="J60" i="27"/>
  <c r="J60" i="46"/>
  <c r="J69" i="27"/>
  <c r="J53" i="46" s="1"/>
  <c r="J202" i="27"/>
  <c r="J212" i="27"/>
  <c r="J66" i="27"/>
  <c r="H198" i="27"/>
  <c r="J14" i="27"/>
  <c r="G66" i="27"/>
  <c r="J89" i="27"/>
  <c r="J80" i="27"/>
  <c r="J156" i="27"/>
  <c r="L144" i="13"/>
  <c r="H11" i="52"/>
  <c r="O11" i="52"/>
  <c r="J17" i="52"/>
  <c r="J93" i="52" s="1"/>
  <c r="O13" i="52"/>
  <c r="E38" i="52"/>
  <c r="J38" i="52"/>
  <c r="H36" i="52"/>
  <c r="J87" i="46"/>
  <c r="F93" i="52"/>
  <c r="E28" i="52"/>
  <c r="E93" i="52" s="1"/>
  <c r="H24" i="52"/>
  <c r="O24" i="52" s="1"/>
  <c r="O28" i="52" s="1"/>
  <c r="E16" i="46"/>
  <c r="O52" i="52"/>
  <c r="J52" i="52"/>
  <c r="O19" i="52"/>
  <c r="O55" i="52"/>
  <c r="O81" i="52"/>
  <c r="H76" i="27"/>
  <c r="H214" i="27" s="1"/>
  <c r="G178" i="27"/>
  <c r="H17" i="52"/>
  <c r="O30" i="52"/>
  <c r="O31" i="52" s="1"/>
  <c r="O58" i="52"/>
  <c r="E17" i="46" s="1"/>
  <c r="O65" i="52"/>
  <c r="O66" i="52" s="1"/>
  <c r="J13" i="46" l="1"/>
  <c r="O21" i="52"/>
  <c r="H28" i="52"/>
  <c r="H93" i="52" s="1"/>
  <c r="J70" i="46"/>
  <c r="O36" i="52"/>
  <c r="O38" i="52" s="1"/>
  <c r="J12" i="46"/>
  <c r="H38" i="52"/>
  <c r="L148" i="13"/>
  <c r="O62" i="52"/>
  <c r="J76" i="27"/>
  <c r="J214" i="27" s="1"/>
  <c r="O17" i="52"/>
  <c r="E15" i="46"/>
  <c r="E24" i="46" s="1"/>
  <c r="J16" i="46" l="1"/>
  <c r="O93" i="52"/>
  <c r="O96" i="52"/>
  <c r="J217" i="27"/>
  <c r="J219" i="27" s="1"/>
  <c r="K61" i="20" l="1"/>
  <c r="G137" i="27"/>
</calcChain>
</file>

<file path=xl/sharedStrings.xml><?xml version="1.0" encoding="utf-8"?>
<sst xmlns="http://schemas.openxmlformats.org/spreadsheetml/2006/main" count="1286" uniqueCount="537">
  <si>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</si>
  <si>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H. AYUNTAMIENTO MUNICIPAL DE AMATITAN, JAL.</t>
  </si>
  <si>
    <t>.</t>
  </si>
  <si>
    <t>CLAVE</t>
  </si>
  <si>
    <t>5.1.1.1-0-113</t>
  </si>
  <si>
    <t>N° Trabajador</t>
  </si>
  <si>
    <t>N°</t>
  </si>
  <si>
    <t>NOMBRE DEL TRABAJADOR</t>
  </si>
  <si>
    <t>PUESTO</t>
  </si>
  <si>
    <t>SUELDO</t>
  </si>
  <si>
    <t>SUBSIDIO</t>
  </si>
  <si>
    <t>DESPENSA</t>
  </si>
  <si>
    <t>PRIMA QUINQUENAL</t>
  </si>
  <si>
    <t>HORAS EXTRAS</t>
  </si>
  <si>
    <t>I.S.R.</t>
  </si>
  <si>
    <t>FALTAS</t>
  </si>
  <si>
    <t>CUOTA SINDICAL</t>
  </si>
  <si>
    <t>I.M.S.S.</t>
  </si>
  <si>
    <t>SUELDO NETO POR EMPLEADO</t>
  </si>
  <si>
    <t>PRESIDENCIA</t>
  </si>
  <si>
    <t>BBVA</t>
  </si>
  <si>
    <t>Zepeda Rivera Claudia Yazmin</t>
  </si>
  <si>
    <t>Secretaria Sindicatura</t>
  </si>
  <si>
    <t xml:space="preserve">   </t>
  </si>
  <si>
    <t>HACIENDA PUBLICA</t>
  </si>
  <si>
    <t>Tovar Rivera Rosa Maria</t>
  </si>
  <si>
    <t>Secretaria Tesoreria</t>
  </si>
  <si>
    <t>Olivares Rodriguez Celia</t>
  </si>
  <si>
    <t>Nuñez Zepeda Altagracia</t>
  </si>
  <si>
    <t>Nuñez Zepeda Petra</t>
  </si>
  <si>
    <t>Auxiliar de Hacienda Municipal</t>
  </si>
  <si>
    <t>PREDIAL Y CATASTRO</t>
  </si>
  <si>
    <t>Garcia Ortega Lucio</t>
  </si>
  <si>
    <t>Auxiliar Catastro</t>
  </si>
  <si>
    <t>Lopez Gomez Adela</t>
  </si>
  <si>
    <t>secretaria Catastro</t>
  </si>
  <si>
    <t>OBRAS PUBLICAS</t>
  </si>
  <si>
    <t>Ocampo Martinez Miguel</t>
  </si>
  <si>
    <t>Chofer Maquinaria</t>
  </si>
  <si>
    <t>Ortega Preciado Candelario</t>
  </si>
  <si>
    <t>Peon</t>
  </si>
  <si>
    <t>Hernandez Alvarado Jose Antonio</t>
  </si>
  <si>
    <t>Empedrador</t>
  </si>
  <si>
    <t>CHEQ</t>
  </si>
  <si>
    <t xml:space="preserve">Jose Luis Ruiz Mercado </t>
  </si>
  <si>
    <t xml:space="preserve">Peon </t>
  </si>
  <si>
    <t>Plascencia Zepeda Aurelio</t>
  </si>
  <si>
    <t xml:space="preserve">ECOLOGIA </t>
  </si>
  <si>
    <t>Rios Diaz Ma Ascencion</t>
  </si>
  <si>
    <t>Secretaria Ecologia</t>
  </si>
  <si>
    <t>AGUA POTABLE Y ALCANTARILLADO</t>
  </si>
  <si>
    <t>Rodriguez Salazar Carlos Armando</t>
  </si>
  <si>
    <t>Fontanero</t>
  </si>
  <si>
    <t>Plascencia Zepeda Fernando</t>
  </si>
  <si>
    <t>Aux. Alcantarillado</t>
  </si>
  <si>
    <t>Prestamo $500 del 06 MAYO</t>
  </si>
  <si>
    <t>Ubaldo Plascencia Nuñez</t>
  </si>
  <si>
    <t>Adame Alvarado Victor</t>
  </si>
  <si>
    <t>Encargado de Pozo</t>
  </si>
  <si>
    <t>OFICIALIA MAYOR</t>
  </si>
  <si>
    <t>Perez Ibarra Mariana</t>
  </si>
  <si>
    <t>Intendente</t>
  </si>
  <si>
    <t>Rosales Villalobos Ma Asencion</t>
  </si>
  <si>
    <t>Romero Valencia Noemi</t>
  </si>
  <si>
    <t>Romero Rodriguez Veronica</t>
  </si>
  <si>
    <t>Abarca Diaz Julia</t>
  </si>
  <si>
    <t>Engelberto Trinidad Ayon Arellano</t>
  </si>
  <si>
    <t xml:space="preserve">Sarah Veronica Rojas Ruiz </t>
  </si>
  <si>
    <t>3007  cheq</t>
  </si>
  <si>
    <t>Maria de Rosario Alvarado Olivares</t>
  </si>
  <si>
    <t>Correa Bugarin Herminio</t>
  </si>
  <si>
    <t>Chofer Camion Escolar</t>
  </si>
  <si>
    <t>ASEO PUBLICO</t>
  </si>
  <si>
    <t>Sergio Real Olivares</t>
  </si>
  <si>
    <t>Chofer Aseo</t>
  </si>
  <si>
    <t>Perez Gonzalez Narciso</t>
  </si>
  <si>
    <t>Aseador</t>
  </si>
  <si>
    <t>J.  Ascencion Ramirez Lopez</t>
  </si>
  <si>
    <t xml:space="preserve">Aseador </t>
  </si>
  <si>
    <t>Leonel Rivera Hugo</t>
  </si>
  <si>
    <t>Murillo Rubio Carlos</t>
  </si>
  <si>
    <t>Joaquin Arroyo Romero</t>
  </si>
  <si>
    <t>REGISTRO CIVIL</t>
  </si>
  <si>
    <t>Ruiz Navarrete Claudia Veronica</t>
  </si>
  <si>
    <t xml:space="preserve">Secretaria Registro </t>
  </si>
  <si>
    <t>Zambrano Arellano Francisco Javier</t>
  </si>
  <si>
    <t>Aux. Registro Civil</t>
  </si>
  <si>
    <t>RASTRO</t>
  </si>
  <si>
    <t>Delgado Fregoso Enrique Martin</t>
  </si>
  <si>
    <t>PARQUES Y JARDINES</t>
  </si>
  <si>
    <t>Juarez Alvarado Manuel</t>
  </si>
  <si>
    <t>Jardinero</t>
  </si>
  <si>
    <t>Rodriguez Damian Enrique</t>
  </si>
  <si>
    <t>Cortes Alvarado Carlos Javier</t>
  </si>
  <si>
    <t>Ruiz Sanchez Alberto</t>
  </si>
  <si>
    <t>CEMENTERIOS</t>
  </si>
  <si>
    <t>Rivera Rosales Jose Maria</t>
  </si>
  <si>
    <t>Aux. Cementerio</t>
  </si>
  <si>
    <t>SEGURIDAD PUBLICA</t>
  </si>
  <si>
    <t>Murillo Ramos Esperanza</t>
  </si>
  <si>
    <t>Secretaria</t>
  </si>
  <si>
    <t>PROTECCION CIVIL Y BOMBEROS</t>
  </si>
  <si>
    <t>Roman Adame Luis Humberto</t>
  </si>
  <si>
    <t>Sub Director PC y Bomberos</t>
  </si>
  <si>
    <t>1er descuento 1era febrero</t>
  </si>
  <si>
    <t>Mauricio Plascencia Flores</t>
  </si>
  <si>
    <t>Chofer Ambulancia</t>
  </si>
  <si>
    <t>TOTALES</t>
  </si>
  <si>
    <t xml:space="preserve">LAE. Severo Zepeda Melendrez </t>
  </si>
  <si>
    <t>Encargado de Hacienda Municipal</t>
  </si>
  <si>
    <t>Presidente Municipal</t>
  </si>
  <si>
    <t>INFONAVIT</t>
  </si>
  <si>
    <t>BONO PUNT.</t>
  </si>
  <si>
    <t>PRIMA VACACIONAL</t>
  </si>
  <si>
    <t>TIEMPO EXTRA</t>
  </si>
  <si>
    <t>PENSIONES Y OTROS</t>
  </si>
  <si>
    <t>5.1.1.1-0-113-252</t>
  </si>
  <si>
    <t xml:space="preserve">ALEJANDRO RUIZ MURILLO </t>
  </si>
  <si>
    <t>Director</t>
  </si>
  <si>
    <t>MIGUEL LOZANO RODRIGUEZ</t>
  </si>
  <si>
    <t>Comandante</t>
  </si>
  <si>
    <t xml:space="preserve">CESAR RUIZ MURILLO </t>
  </si>
  <si>
    <t>EDMUNDO RUIZ MEDRANO</t>
  </si>
  <si>
    <t>Policia de Linea</t>
  </si>
  <si>
    <t>JOSE FRANCISCO COVARUBIAS GARCIA</t>
  </si>
  <si>
    <t xml:space="preserve">ALFONSO FLORES CORDERO </t>
  </si>
  <si>
    <t>MERCEDES AURELIA BALTAZAR BRAVO</t>
  </si>
  <si>
    <t>JOEL CASTRO CASTRO</t>
  </si>
  <si>
    <t xml:space="preserve">MARGARITA DE LUNA DE LUNA </t>
  </si>
  <si>
    <t xml:space="preserve">ADRIANA DE JESUS PEREZ IBARRA </t>
  </si>
  <si>
    <t>CHRISTIAN ALEJANDRO VILLA GONZALEZ</t>
  </si>
  <si>
    <t xml:space="preserve">JORGE LUIS SIGALA CORONA </t>
  </si>
  <si>
    <t>Entro 09-Feb</t>
  </si>
  <si>
    <t>CITLALIC JUAREZ MENDEZ</t>
  </si>
  <si>
    <t xml:space="preserve">LILIA GALLARDO ALVAREZ </t>
  </si>
  <si>
    <t>TRANS</t>
  </si>
  <si>
    <t>MARTIN AURELIO DELGADO NUÑEZ</t>
  </si>
  <si>
    <t>RAYMUNDO GARCIA MENDOZA</t>
  </si>
  <si>
    <t>ENEAS RENTERIA PEDROZA</t>
  </si>
  <si>
    <t xml:space="preserve">BRYAN ALFONSO RAMOS DOMINGUEZ </t>
  </si>
  <si>
    <t>GUILLERMO YAIR BAÑUELOS LUPERCIO</t>
  </si>
  <si>
    <t>SAUL RUIZ MURILLO</t>
  </si>
  <si>
    <t>MARIA ISABEL NUÑEZ SANDOVAL</t>
  </si>
  <si>
    <t>EFRAIN HERNANDEZ NUÑEZ</t>
  </si>
  <si>
    <t>PEDRO FLORES MINERO</t>
  </si>
  <si>
    <t>FABIOLA VAZQUEZ GARCIA</t>
  </si>
  <si>
    <t>JOSE ANTONIO RAMOS CEJA</t>
  </si>
  <si>
    <t>JOEL ANGEL CASTRO FLORES</t>
  </si>
  <si>
    <t>RICARDO FLORES GOMEZ</t>
  </si>
  <si>
    <t>ALBERTO ENRIQUEZ SERRANO</t>
  </si>
  <si>
    <t>ANA LIDIA VERA GUZMAN</t>
  </si>
  <si>
    <t>Intendentes/Jardineros/Bodega/Administrativos</t>
  </si>
  <si>
    <t>51.1.2.0-122-401-</t>
  </si>
  <si>
    <t>Sueldo</t>
  </si>
  <si>
    <t>Tiempo Extraordinario</t>
  </si>
  <si>
    <t>Faltas</t>
  </si>
  <si>
    <t xml:space="preserve">Sueldo Neto </t>
  </si>
  <si>
    <t xml:space="preserve">PRESIDENCIA </t>
  </si>
  <si>
    <t>5.1.1.2.0-122-401-00</t>
  </si>
  <si>
    <t>Jesus Alberto Sanchez Moreno</t>
  </si>
  <si>
    <t>Chofer</t>
  </si>
  <si>
    <t>CULTURA</t>
  </si>
  <si>
    <t>Gabriela Maria Gonzalez Perez</t>
  </si>
  <si>
    <t>Auxiliar Administrativa</t>
  </si>
  <si>
    <t>Gabriela Castañeda Garcia</t>
  </si>
  <si>
    <t>Intendente Museo</t>
  </si>
  <si>
    <t>SECRETARIA GENERAL</t>
  </si>
  <si>
    <t>Paulina Flores Velazco</t>
  </si>
  <si>
    <t>AGUA POTABLE</t>
  </si>
  <si>
    <t xml:space="preserve">Rosa Velazquez Najar </t>
  </si>
  <si>
    <t>Pocera</t>
  </si>
  <si>
    <t>Efec</t>
  </si>
  <si>
    <t>Ma. Guadalupe Gutierrez Contreras</t>
  </si>
  <si>
    <t>Auxiliar agua potable</t>
  </si>
  <si>
    <t>30 MARZO   500</t>
  </si>
  <si>
    <t>1ERA ABRIL    500</t>
  </si>
  <si>
    <t>Juan Jose García Sandoval</t>
  </si>
  <si>
    <t>Pocero</t>
  </si>
  <si>
    <t>Juan Jose Sanchez Hermosillo</t>
  </si>
  <si>
    <t>Pocero Santiaguito</t>
  </si>
  <si>
    <t>Candelario Castro Castro</t>
  </si>
  <si>
    <t>Miguel Ocampo Flores</t>
  </si>
  <si>
    <t>Operador Planta Tratadora</t>
  </si>
  <si>
    <t>Emilia Flores Martínez</t>
  </si>
  <si>
    <t>OFICIAL MAYOR</t>
  </si>
  <si>
    <t>Monserrat Alejandra Flores Ibarra</t>
  </si>
  <si>
    <t>Martimiano Alvarado Delgado</t>
  </si>
  <si>
    <t>Jardinero Casa de la cultura</t>
  </si>
  <si>
    <t>Jose Candelario Plascencia Rivera</t>
  </si>
  <si>
    <t>Mensajero</t>
  </si>
  <si>
    <t>Maria Guillermina Hernandez Salazar</t>
  </si>
  <si>
    <t>Maria Vazquez Haro</t>
  </si>
  <si>
    <t>Dalia Gudalupe Sanchez Delgado</t>
  </si>
  <si>
    <t>Intendente Santiaguito</t>
  </si>
  <si>
    <t>Valeria Alejandra Hernandez Soto</t>
  </si>
  <si>
    <t>Auxiliar administrativa</t>
  </si>
  <si>
    <t>Sandra Alvarado Reyes</t>
  </si>
  <si>
    <t xml:space="preserve">Intendente </t>
  </si>
  <si>
    <t xml:space="preserve">Marcela Esmeralda Morales Gomez </t>
  </si>
  <si>
    <t xml:space="preserve">Auxiliar General </t>
  </si>
  <si>
    <t>Julieta Laritza Lara Lopez</t>
  </si>
  <si>
    <t>Yesica Alejandra Montes Caudillo</t>
  </si>
  <si>
    <t>Intendente presidencia</t>
  </si>
  <si>
    <t>Targ</t>
  </si>
  <si>
    <t>Marisol Iñiguez Torres</t>
  </si>
  <si>
    <t>Irma Lopez Valdez</t>
  </si>
  <si>
    <t>Silviano Flores Cornejo</t>
  </si>
  <si>
    <t>Velador</t>
  </si>
  <si>
    <t>Maria del Rocio Carlos Flores</t>
  </si>
  <si>
    <t>CHE</t>
  </si>
  <si>
    <t>Maria del Carmen Yazmin Rivera Rodriguez</t>
  </si>
  <si>
    <t>Ernesto Olivares Delgado</t>
  </si>
  <si>
    <t>Clemente Garcia Hernandez</t>
  </si>
  <si>
    <t>Auxiliar Oficial mayor</t>
  </si>
  <si>
    <t>Antonia Salazar Lopez</t>
  </si>
  <si>
    <t>Lucio Miramontes Rubio</t>
  </si>
  <si>
    <t>Elizabeth Esqueda Ramirez</t>
  </si>
  <si>
    <t>Fisioterapeuta</t>
  </si>
  <si>
    <t>Raul Lopez Ravelero</t>
  </si>
  <si>
    <t>Maria Elena Torres Garcia</t>
  </si>
  <si>
    <t>Intendente Asilo</t>
  </si>
  <si>
    <t>Veronica Melendrez Hernandez</t>
  </si>
  <si>
    <t xml:space="preserve">Raul Becerra Olmos </t>
  </si>
  <si>
    <t xml:space="preserve">Mécanico </t>
  </si>
  <si>
    <t>DESARROLLO RURAL</t>
  </si>
  <si>
    <t>Juan Bosco Villegas Anguiano</t>
  </si>
  <si>
    <t>Chofer  Mototransformadora</t>
  </si>
  <si>
    <t xml:space="preserve">Prestamo $5,000 el 29 de marzo </t>
  </si>
  <si>
    <t>Arnulfo Lopez Contreras</t>
  </si>
  <si>
    <t>Operador maquinaria</t>
  </si>
  <si>
    <t>Jose de Jesus García Mercado</t>
  </si>
  <si>
    <t>Chofer camion volteo 319127</t>
  </si>
  <si>
    <t xml:space="preserve">Ramon Gutierrez Ibarra </t>
  </si>
  <si>
    <t xml:space="preserve">Proyectos </t>
  </si>
  <si>
    <t>Felipe Delgado Olivares</t>
  </si>
  <si>
    <t>Albañil</t>
  </si>
  <si>
    <t>Juan David Ortiz Martínez</t>
  </si>
  <si>
    <t>Mireya Delgado Rivera</t>
  </si>
  <si>
    <t>Benito Flores García</t>
  </si>
  <si>
    <t xml:space="preserve">Elizabeth Rodriguez  Rivera </t>
  </si>
  <si>
    <t>Auxiliar Obras publicas</t>
  </si>
  <si>
    <t>CONTRALORIA</t>
  </si>
  <si>
    <t>Dario Razo Vargas</t>
  </si>
  <si>
    <t>Jefe de Autoridad Investigadora del Organo Interno de Control</t>
  </si>
  <si>
    <t>Mireya Flores Olivares</t>
  </si>
  <si>
    <t>Auxiliar contraloria</t>
  </si>
  <si>
    <t>HACIENDA MUNICIPAL</t>
  </si>
  <si>
    <t>Silvano Murillo Ocampo</t>
  </si>
  <si>
    <t>Recaudador</t>
  </si>
  <si>
    <t>Veronica Cecilia Loreto Torres</t>
  </si>
  <si>
    <t>Auxiliar tesoreria</t>
  </si>
  <si>
    <t>BNTE</t>
  </si>
  <si>
    <t>Oscar Mario Rubio Aguilar</t>
  </si>
  <si>
    <t>PROTECCION CIVIL</t>
  </si>
  <si>
    <t>Cristian Alexis Torres Alvarado</t>
  </si>
  <si>
    <t>Auxiliar Proteccion Civil</t>
  </si>
  <si>
    <t>Karen Guadalupe Nava Godoy</t>
  </si>
  <si>
    <t>Sergio Omar Cruz Lozano</t>
  </si>
  <si>
    <t>Jose de Jesus Avila Peña</t>
  </si>
  <si>
    <t>Lauro Liberato Gonzalez Perez</t>
  </si>
  <si>
    <t>Mariela Castro Torres</t>
  </si>
  <si>
    <t>Alondra Citlalli Lopez Solis</t>
  </si>
  <si>
    <t>Victoria Vazquez Garcia</t>
  </si>
  <si>
    <t>Alejandro Martin Huerta Sanchez</t>
  </si>
  <si>
    <t>Jaqueline Sinahi Gomez Melendrez</t>
  </si>
  <si>
    <t>Aurelio Sandoval Gonzalez</t>
  </si>
  <si>
    <t>Monserrat Gonzalez Magaña</t>
  </si>
  <si>
    <t>Rita Ortega Nepomuceno</t>
  </si>
  <si>
    <t>Jose Francisco Lopez Melendez</t>
  </si>
  <si>
    <t>Santiago Segura Covarrubias</t>
  </si>
  <si>
    <t>RASTRO MUNICIPAL</t>
  </si>
  <si>
    <t>Hector Ruben Ontiveros Zepeda</t>
  </si>
  <si>
    <t>Veterinario</t>
  </si>
  <si>
    <t xml:space="preserve">Salvador Rivera Rivera </t>
  </si>
  <si>
    <t xml:space="preserve">Auxiliar </t>
  </si>
  <si>
    <t>Lorenzo Torres Alvarado</t>
  </si>
  <si>
    <t>Inspector</t>
  </si>
  <si>
    <t xml:space="preserve">Miguel Ocampo Martinez </t>
  </si>
  <si>
    <t>ASEO</t>
  </si>
  <si>
    <t>Manuel Arroyo Romero</t>
  </si>
  <si>
    <t>Basilio Loreto Mendoza</t>
  </si>
  <si>
    <t>BNTE 1074</t>
  </si>
  <si>
    <t xml:space="preserve">Guillermpo Ocampo Martinez </t>
  </si>
  <si>
    <t xml:space="preserve">COMPUTO E INFORMATICA </t>
  </si>
  <si>
    <t xml:space="preserve">Elizabeth Navarro Martinez </t>
  </si>
  <si>
    <t xml:space="preserve">Auxiliar informatica </t>
  </si>
  <si>
    <t xml:space="preserve">Lesly Guadalupe Torres Zepeda </t>
  </si>
  <si>
    <t>Intendente comandancia</t>
  </si>
  <si>
    <t xml:space="preserve">Barbara Elizabeth Meza Ocampo </t>
  </si>
  <si>
    <t>Secretaria Comandancia</t>
  </si>
  <si>
    <t>Comunicación Social</t>
  </si>
  <si>
    <t>Yolintzin Delgado Rivera</t>
  </si>
  <si>
    <t>Bodega</t>
  </si>
  <si>
    <t>Carlos Roberto Hernandez Alvarado</t>
  </si>
  <si>
    <t>Encargado de bodega</t>
  </si>
  <si>
    <t>Ce-Mujer</t>
  </si>
  <si>
    <t>Maria del Rocio Ramirez Arellano</t>
  </si>
  <si>
    <t>Psicóloga</t>
  </si>
  <si>
    <t xml:space="preserve">PARQUES Y JARDINES </t>
  </si>
  <si>
    <t>Mauro Dimas Gonzalez Rojas</t>
  </si>
  <si>
    <t>Jefatura</t>
  </si>
  <si>
    <t>Eduardo Morales Gomez</t>
  </si>
  <si>
    <t>Auxiliar Unidad deportiva</t>
  </si>
  <si>
    <t>Pedro Rene Castañeda Rivera</t>
  </si>
  <si>
    <t>Auxiliar</t>
  </si>
  <si>
    <t>Facundo Adame Alvarado</t>
  </si>
  <si>
    <t>Auxiliar parques y jardines</t>
  </si>
  <si>
    <t xml:space="preserve">Lisbeth Guadalupe Rivera Zepeda </t>
  </si>
  <si>
    <t>Delegaciones</t>
  </si>
  <si>
    <t>Angelica Reynaga Rangel</t>
  </si>
  <si>
    <t xml:space="preserve">Desarrollo Social </t>
  </si>
  <si>
    <t xml:space="preserve">Marco Antonio Rios </t>
  </si>
  <si>
    <t>Chofer camion escolar</t>
  </si>
  <si>
    <t>Maria de Jesus Castro Juarez</t>
  </si>
  <si>
    <t>Alumbrado Público</t>
  </si>
  <si>
    <t>Oscar Villalobos Melendrez</t>
  </si>
  <si>
    <t>Rafael Osuna Gomez</t>
  </si>
  <si>
    <t>3500, se le empezo a descontar  en la primera de Marzo</t>
  </si>
  <si>
    <t xml:space="preserve">Dictaminacion </t>
  </si>
  <si>
    <t xml:space="preserve">Aurora Nadsheli Avila Hernandez </t>
  </si>
  <si>
    <t xml:space="preserve">Educación </t>
  </si>
  <si>
    <t>Imelda Nallely Rivera Haro</t>
  </si>
  <si>
    <t>Claudio Perez Reyes</t>
  </si>
  <si>
    <t>Transparencia</t>
  </si>
  <si>
    <t xml:space="preserve">Clara Esmeralda Flores Rincon </t>
  </si>
  <si>
    <t>Mejoramiento Urbano</t>
  </si>
  <si>
    <t>Jose Ocampo Ravelero</t>
  </si>
  <si>
    <t>Archivo</t>
  </si>
  <si>
    <t>Juan Esteban Mora Lopez</t>
  </si>
  <si>
    <t>Alejandra Nallely Ortega Flores</t>
  </si>
  <si>
    <t>RECURSOS HUMANOS</t>
  </si>
  <si>
    <t>Roberto Carlos García López</t>
  </si>
  <si>
    <t>VIALIDAD</t>
  </si>
  <si>
    <t>Victor Hugo Colmenares Villanueva</t>
  </si>
  <si>
    <t>Agente de movilidad</t>
  </si>
  <si>
    <t>Ivan Fernando Aguilar  Elviro</t>
  </si>
  <si>
    <t>Maria del Carmen Rodriguez Mota</t>
  </si>
  <si>
    <t>Jhovana Elizabeth Quiroz García</t>
  </si>
  <si>
    <t>Ramses Abraham Mora Saldivar</t>
  </si>
  <si>
    <t>Auxiliar administrativo</t>
  </si>
  <si>
    <t>5.1.1.1.0-111-401</t>
  </si>
  <si>
    <t>OTRAS DEDUCCIONES</t>
  </si>
  <si>
    <t>5.1.1.1.0-111-401-00</t>
  </si>
  <si>
    <t>5.1.1.1.0-113-401-00</t>
  </si>
  <si>
    <t>Alfonso Rivera Villegas</t>
  </si>
  <si>
    <t>Jefe de Gabinete</t>
  </si>
  <si>
    <t>Miguel Melendrez Rodriguez</t>
  </si>
  <si>
    <t>SALA DE REGIDORES</t>
  </si>
  <si>
    <t>Regidor</t>
  </si>
  <si>
    <t>Raul Zepeda Gomez</t>
  </si>
  <si>
    <t xml:space="preserve">Jessica Margarita Cortes Hermosillo </t>
  </si>
  <si>
    <t>Noe Rios Flores</t>
  </si>
  <si>
    <t>Carmen Castañeda Rivera</t>
  </si>
  <si>
    <t>Saul Lopez Alvarado</t>
  </si>
  <si>
    <t>Ruben Reynoso Flores</t>
  </si>
  <si>
    <t>Nery Saul Garcia Esqueda</t>
  </si>
  <si>
    <t>Heidi Asurim Aviña Ramirez</t>
  </si>
  <si>
    <t>Liliana Berenice Acosta Tapia</t>
  </si>
  <si>
    <t>SINDICATURA</t>
  </si>
  <si>
    <t>Sindico</t>
  </si>
  <si>
    <t>Araceli Ramos Cordero</t>
  </si>
  <si>
    <t>Secretaria de sindicatura</t>
  </si>
  <si>
    <t>Laura Elizabeth Ramos Magallanes</t>
  </si>
  <si>
    <t>CHEQUE</t>
  </si>
  <si>
    <t>Secretario General</t>
  </si>
  <si>
    <t>Erika Jazmin Ibarra Salazar</t>
  </si>
  <si>
    <t>Juzgado Municipal</t>
  </si>
  <si>
    <t>Juez Municipal</t>
  </si>
  <si>
    <t>Mary Paz Larios Rivera</t>
  </si>
  <si>
    <t xml:space="preserve">CONTRALORIA </t>
  </si>
  <si>
    <t xml:space="preserve">Encargado de despacho </t>
  </si>
  <si>
    <t>Ricardo Macedo Gonzalez</t>
  </si>
  <si>
    <t>Severo Zepeda Melendrez</t>
  </si>
  <si>
    <t>Contador</t>
  </si>
  <si>
    <t>Luis Eduardo Zepeda Rivera</t>
  </si>
  <si>
    <t>Auxiliar Tesoreria</t>
  </si>
  <si>
    <t>Karla Zepeda Martínez</t>
  </si>
  <si>
    <t>Obras Publicas Director</t>
  </si>
  <si>
    <t>Gabriel Medero Torres</t>
  </si>
  <si>
    <t xml:space="preserve">Proyectista </t>
  </si>
  <si>
    <t xml:space="preserve">Pedro Guerrero Magaña </t>
  </si>
  <si>
    <t>TRANSPARENCIA</t>
  </si>
  <si>
    <t>Director de Transparencia</t>
  </si>
  <si>
    <t>Alondra Noemi Rivera Jauregui</t>
  </si>
  <si>
    <t>COMPUTO E INFORMATICA</t>
  </si>
  <si>
    <t xml:space="preserve">BBVA </t>
  </si>
  <si>
    <t>Director de Sistemas</t>
  </si>
  <si>
    <t>Samuel Villegas Perez</t>
  </si>
  <si>
    <t>Oficial</t>
  </si>
  <si>
    <t>Gustavo Delgado Torres</t>
  </si>
  <si>
    <t>Oficial Mayor</t>
  </si>
  <si>
    <t>Fabian Saldivar Ramirez</t>
  </si>
  <si>
    <t xml:space="preserve">CEMENTERIOS </t>
  </si>
  <si>
    <t>Director de Panteones</t>
  </si>
  <si>
    <t>Israel Montes Delgado</t>
  </si>
  <si>
    <t>Yazmin Escatel Ruiz</t>
  </si>
  <si>
    <t>2DA MARZO   1000</t>
  </si>
  <si>
    <t>1ERA ABRIL    1000</t>
  </si>
  <si>
    <t>Ramón de Jesus Covarrubias Correa</t>
  </si>
  <si>
    <t xml:space="preserve">Juan Pablo Alvarado Martinez </t>
  </si>
  <si>
    <t xml:space="preserve">Prestamo de $5,000 el 16 de marzo </t>
  </si>
  <si>
    <t xml:space="preserve">COMUNICACIÓN SOCIAL </t>
  </si>
  <si>
    <t xml:space="preserve">Director </t>
  </si>
  <si>
    <t>Arianna Guzman Lazcarro</t>
  </si>
  <si>
    <t>Salvador Murillo Partida</t>
  </si>
  <si>
    <t>PARTICIPACION CIUDADANA</t>
  </si>
  <si>
    <t>Yenifer Alexis Torres Salazar</t>
  </si>
  <si>
    <t xml:space="preserve">DESARROLLO ECONOMICO </t>
  </si>
  <si>
    <t xml:space="preserve">Jose Ezequiel Bugarin Hernandez </t>
  </si>
  <si>
    <t>Jose Carmen Gandara Montes</t>
  </si>
  <si>
    <t>ARCHIVO</t>
  </si>
  <si>
    <t>Cesar Fernando Iñiguez Felix</t>
  </si>
  <si>
    <t>CATASTRO</t>
  </si>
  <si>
    <t xml:space="preserve">Jose Guadalupe Rivera Sandoval </t>
  </si>
  <si>
    <t>CE MUJER</t>
  </si>
  <si>
    <t xml:space="preserve">Brigido Ramirez Rivera </t>
  </si>
  <si>
    <t xml:space="preserve">OFICIALIA DE PADRON Y LICENCIAS </t>
  </si>
  <si>
    <t>Sandra Paola Ruvalcaba Orozco</t>
  </si>
  <si>
    <t>COMUSIDA</t>
  </si>
  <si>
    <t xml:space="preserve">Bonifacio Partida Melendrez </t>
  </si>
  <si>
    <t xml:space="preserve">EDUCACION </t>
  </si>
  <si>
    <t xml:space="preserve"> </t>
  </si>
  <si>
    <t>Seleni Guadalupe Sanchez Martinez</t>
  </si>
  <si>
    <t>Rosa Cristina Correa Martínez</t>
  </si>
  <si>
    <t>DESARROLLO SOCIAL</t>
  </si>
  <si>
    <t xml:space="preserve">Juan Manuel Lopez Hernandez </t>
  </si>
  <si>
    <t xml:space="preserve">PLANEACION Y MEJORA REGULATORIA </t>
  </si>
  <si>
    <t xml:space="preserve">Guadalupe Nallely Ramirez Lopez </t>
  </si>
  <si>
    <t>ECOLOGIA Y MEDIO AMBIENTE</t>
  </si>
  <si>
    <t xml:space="preserve">Jose de Jesus Flores Castañeda </t>
  </si>
  <si>
    <t>Deportes</t>
  </si>
  <si>
    <t xml:space="preserve">Benito Roman </t>
  </si>
  <si>
    <t>TURISMO</t>
  </si>
  <si>
    <t>Guadalupe Lorelly Ravelero Cruz</t>
  </si>
  <si>
    <t>Movilidad y Transporte</t>
  </si>
  <si>
    <t>Luis Alberto Aguilar Vera</t>
  </si>
  <si>
    <t>Ana Patricia Galindo Orozco</t>
  </si>
  <si>
    <t>H. AYUNTAMIENTO MUNICIPAL DE AMATITAN JALISCO</t>
  </si>
  <si>
    <t>RFC: MAJ 850101 FE3 DOMICILIO  ZARAGOZA  # 42</t>
  </si>
  <si>
    <t>1E</t>
  </si>
  <si>
    <t>FECHA DE INGRESO</t>
  </si>
  <si>
    <t xml:space="preserve">NOMBRE </t>
  </si>
  <si>
    <t>DELEGACIÓN</t>
  </si>
  <si>
    <t>FIRMA DE RECIBIDO</t>
  </si>
  <si>
    <t>5-1.1.2.0-122-111</t>
  </si>
  <si>
    <t>JULIAN LOPEZ GUERRERO</t>
  </si>
  <si>
    <t>DELEGADO</t>
  </si>
  <si>
    <t>LA MATA</t>
  </si>
  <si>
    <t>JAVIER CONTRERAS GUTIERREZ</t>
  </si>
  <si>
    <t>LA QUEBRADORA</t>
  </si>
  <si>
    <t>RAMÓN RIVERA FRANCO</t>
  </si>
  <si>
    <t>EL CERRITO</t>
  </si>
  <si>
    <t>LEONARDO SANCHEZ IBARRA</t>
  </si>
  <si>
    <t>SANTIAGUITO</t>
  </si>
  <si>
    <t>RUBEN AVELAR RIVERA</t>
  </si>
  <si>
    <t>EL AMARILLO</t>
  </si>
  <si>
    <t>ERACLEO UVIEDO REYES</t>
  </si>
  <si>
    <t>AGUA PRIETA</t>
  </si>
  <si>
    <t>RAMÓN VILLARIAL CORTES</t>
  </si>
  <si>
    <t>VILLA DE CUERAMBARO</t>
  </si>
  <si>
    <t>RAUL CONTRERAS GARCIA</t>
  </si>
  <si>
    <t>RANCHO VIEJO</t>
  </si>
  <si>
    <t>MARIA DEL ROSARIO RODRIGUEZ RIVERA</t>
  </si>
  <si>
    <t>CHOME</t>
  </si>
  <si>
    <t>SILVIA HERNANDEZ LOPEZ</t>
  </si>
  <si>
    <t>LA CAPILLA</t>
  </si>
  <si>
    <t xml:space="preserve">MARIA VALERIA RIVERA LICON </t>
  </si>
  <si>
    <t xml:space="preserve">LA CONCHILLA </t>
  </si>
  <si>
    <t>JULIAN RIVERA HARO</t>
  </si>
  <si>
    <t xml:space="preserve">SAN FRANCISCO </t>
  </si>
  <si>
    <t>SAUL OVIEDO HERNANDEZ</t>
  </si>
  <si>
    <t>AGUA FRIA</t>
  </si>
  <si>
    <t>TOTAL:</t>
  </si>
  <si>
    <t xml:space="preserve">ING. Josue  Saul Perez Ocampo </t>
  </si>
  <si>
    <t>BANORTE</t>
  </si>
  <si>
    <t xml:space="preserve">CONFIANZA </t>
  </si>
  <si>
    <t xml:space="preserve">EVENTUAL </t>
  </si>
  <si>
    <t xml:space="preserve">Guillermo Ocampo Martinez </t>
  </si>
  <si>
    <t>SEGURIDAD EFECTIVO</t>
  </si>
  <si>
    <t>TOTAL</t>
  </si>
  <si>
    <t>DELEGADOS</t>
  </si>
  <si>
    <t>SINDICATO</t>
  </si>
  <si>
    <t xml:space="preserve">Rosa María Tovar Rivera </t>
  </si>
  <si>
    <t>Mariana Perez Ibarra</t>
  </si>
  <si>
    <t>Julia Abarca Díaz</t>
  </si>
  <si>
    <t>Maria del Rosario Alvarado Olivares</t>
  </si>
  <si>
    <t>TOTAL BANORTE</t>
  </si>
  <si>
    <t>EVENTUAL</t>
  </si>
  <si>
    <t>CHEQUE EVENTUAL</t>
  </si>
  <si>
    <t>Benito Flores Garcia</t>
  </si>
  <si>
    <t>Juan Jose Garcia Sandoval</t>
  </si>
  <si>
    <t>Juan David Ortiz Martinez</t>
  </si>
  <si>
    <t xml:space="preserve">Maria Elena Torres Garcia </t>
  </si>
  <si>
    <t>Mariela Castro Flores</t>
  </si>
  <si>
    <t>María del Carmen Yazmin Rivera  Rodriguez</t>
  </si>
  <si>
    <t>Silvano Flores Cornejo</t>
  </si>
  <si>
    <t>CONFIANZA EFECTIVO</t>
  </si>
  <si>
    <t>Noemi Romero Valencia</t>
  </si>
  <si>
    <t>Alberto Ruiz Sanchez</t>
  </si>
  <si>
    <t>Petra Nuñez Zepeda</t>
  </si>
  <si>
    <t>4. Tarifa aplicable cuando hagan pagos que correspondan a un periodo de 15 días, correspondiente a 2024.</t>
  </si>
  <si>
    <t>Límite inferior</t>
  </si>
  <si>
    <t>Límite superior</t>
  </si>
  <si>
    <t>Cuota fija</t>
  </si>
  <si>
    <t>Por ciento para aplicarse sobre</t>
  </si>
  <si>
    <t>el excedente del límite inferior</t>
  </si>
  <si>
    <t>$</t>
  </si>
  <si>
    <t>%</t>
  </si>
  <si>
    <t>NÓMINA NOS VEMOS SEGURA DEL 01 AL 31 DE AGOSTO DEL 2022</t>
  </si>
  <si>
    <t>SILVERIA RUBI VELARDE ALVAREZ</t>
  </si>
  <si>
    <t>JUAN FRANCISCO REYES GARIBAY</t>
  </si>
  <si>
    <t>BERTHA CAROLINA LOPEZ PEREZ</t>
  </si>
  <si>
    <t>CRISTOBAL DANIEL GONZALEZ MARROQUIN</t>
  </si>
  <si>
    <t>NÓMINA SECOVIN DEL 01 AL 31 DE AGOSTO DEL 2022</t>
  </si>
  <si>
    <t>OMAR VALENTIN SOLIS LOPEZ</t>
  </si>
  <si>
    <t>CRISTOBAL JIMENEZ CAMPOS</t>
  </si>
  <si>
    <t>MIGUEL ANGEL SANDOVAL GONZALEZ</t>
  </si>
  <si>
    <t xml:space="preserve">MIGUEL ANGEL GARCIA FRANCO </t>
  </si>
  <si>
    <t>IVAN EDUARDO SANDOVAL VARGAS</t>
  </si>
  <si>
    <t>Presidente Interino</t>
  </si>
  <si>
    <t>Susana Osuna Gomez</t>
  </si>
  <si>
    <t>ARQ. Noe Rios  Flores</t>
  </si>
  <si>
    <t>ARQ. Noe Rios Flores</t>
  </si>
  <si>
    <t xml:space="preserve">Presidente Interino </t>
  </si>
  <si>
    <r>
      <t xml:space="preserve">Nomina </t>
    </r>
    <r>
      <rPr>
        <u/>
        <sz val="14"/>
        <color theme="1"/>
        <rFont val="Calibri"/>
        <family val="2"/>
        <scheme val="minor"/>
      </rPr>
      <t>Sindicalizados</t>
    </r>
    <r>
      <rPr>
        <sz val="14"/>
        <color theme="1"/>
        <rFont val="Calibri"/>
        <family val="2"/>
        <scheme val="minor"/>
      </rPr>
      <t xml:space="preserve"> del 15 al 31 de Marzo de 2024</t>
    </r>
  </si>
  <si>
    <t>2da Quincena Marzo</t>
  </si>
  <si>
    <t>Nomina Seguridad Publica del 15 al 31 de  Marzo de 2024</t>
  </si>
  <si>
    <t>2da quincena Marzo</t>
  </si>
  <si>
    <r>
      <t xml:space="preserve">Nomina </t>
    </r>
    <r>
      <rPr>
        <u/>
        <sz val="14"/>
        <color theme="1"/>
        <rFont val="Calibri"/>
        <family val="2"/>
        <scheme val="minor"/>
      </rPr>
      <t>Eventuales</t>
    </r>
    <r>
      <rPr>
        <sz val="14"/>
        <color theme="1"/>
        <rFont val="Calibri"/>
        <family val="2"/>
        <scheme val="minor"/>
      </rPr>
      <t xml:space="preserve"> del 15 al 31 de Marzo de 2024</t>
    </r>
  </si>
  <si>
    <t>Nomina Eventuales del 15 al 31 de Marzo de 2024</t>
  </si>
  <si>
    <t>Nomina Confianza del  15 al 31 de Marzo de 2024</t>
  </si>
  <si>
    <t>NÓMINA DE DELEGADOS DEL 15 AL 31  MARZO  DEL 2024</t>
  </si>
  <si>
    <t>Celia Olivares Rodirguez</t>
  </si>
  <si>
    <t>MIGUEL ALONSO RIVERA CASTILLO</t>
  </si>
  <si>
    <t>MIGUEL ANGEL RIVERA CASTILLO</t>
  </si>
  <si>
    <t>BAJA</t>
  </si>
  <si>
    <t>PP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</si>
</sst>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_ ;\-#,##0.00\ "/>
    <numFmt numFmtId="165" formatCode="_-* #,##0_-;\-* #,##0_-;_-* &quot;-&quot;??_-;_-@_-"/>
  </numFmts>
  <fonts count="48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u/>
      <sz val="16"/>
      <color theme="1"/>
      <name val="Calibri"/>
      <family val="2"/>
      <scheme val="minor"/>
    </font>
    <font>
      <i/>
      <u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i/>
      <sz val="16"/>
      <color theme="1"/>
      <name val="Calibri"/>
      <family val="2"/>
      <scheme val="minor"/>
    </font>
    <font>
      <u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rgb="FF2F2F2F"/>
      <name val="Arial"/>
      <family val="2"/>
    </font>
    <font>
      <sz val="9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Arial"/>
      <family val="2"/>
    </font>
    <font>
      <u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u/>
      <sz val="12"/>
      <color theme="1"/>
      <name val="Calibri"/>
      <family val="2"/>
      <scheme val="minor"/>
    </font>
    <font>
      <b/>
      <i/>
      <u/>
      <sz val="9"/>
      <name val="Calibri"/>
      <family val="2"/>
      <scheme val="minor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b/>
      <i/>
      <u/>
      <sz val="11"/>
      <color theme="1"/>
      <name val="Arial"/>
      <family val="2"/>
    </font>
    <font>
      <b/>
      <sz val="11"/>
      <color theme="1"/>
      <name val="Arial"/>
      <family val="2"/>
    </font>
    <font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b/>
      <i/>
      <u/>
      <sz val="9"/>
      <color theme="1"/>
      <name val="Arial"/>
      <family val="2"/>
    </font>
    <font>
      <sz val="12"/>
      <color theme="1"/>
      <name val="Arial"/>
      <family val="2"/>
    </font>
    <font>
      <sz val="10"/>
      <color rgb="FFFF0000"/>
      <name val="Calibri"/>
      <family val="2"/>
      <scheme val="minor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79992065187536243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 tint="-0.149937437055574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double">
        <color auto="1"/>
      </bottom>
      <diagonal/>
    </border>
    <border>
      <left/>
      <right/>
      <top/>
      <bottom style="thin">
        <color theme="2" tint="-0.89992980742820516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double">
        <color auto="1"/>
      </top>
      <bottom/>
      <diagonal/>
    </border>
  </borders>
  <cellStyleXfs count="7">
    <xf numFmtId="0" fontId="0" fillId="0" borderId="0"/>
    <xf numFmtId="43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</cellStyleXfs>
  <cellXfs count="316">
    <xf numFmtId="0" fontId="0" fillId="0" borderId="0" xfId="0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2" borderId="0" xfId="0" applyFont="1" applyFill="1" applyAlignment="1">
      <alignment horizontal="center" wrapText="1"/>
    </xf>
    <xf numFmtId="0" fontId="7" fillId="0" borderId="0" xfId="0" applyFont="1" applyAlignment="1">
      <alignment horizontal="center"/>
    </xf>
    <xf numFmtId="0" fontId="8" fillId="2" borderId="0" xfId="0" applyFont="1" applyFill="1" applyAlignment="1">
      <alignment horizontal="center" wrapText="1"/>
    </xf>
    <xf numFmtId="0" fontId="8" fillId="3" borderId="0" xfId="0" applyFont="1" applyFill="1"/>
    <xf numFmtId="0" fontId="8" fillId="3" borderId="0" xfId="0" applyFont="1" applyFill="1" applyAlignment="1">
      <alignment horizontal="center"/>
    </xf>
    <xf numFmtId="49" fontId="8" fillId="0" borderId="0" xfId="0" applyNumberFormat="1" applyFont="1"/>
    <xf numFmtId="14" fontId="8" fillId="0" borderId="0" xfId="0" applyNumberFormat="1" applyFont="1"/>
    <xf numFmtId="0" fontId="8" fillId="0" borderId="0" xfId="0" applyFont="1" applyAlignment="1">
      <alignment horizontal="center"/>
    </xf>
    <xf numFmtId="0" fontId="8" fillId="0" borderId="0" xfId="0" applyFont="1"/>
    <xf numFmtId="43" fontId="8" fillId="2" borderId="0" xfId="2" applyNumberFormat="1" applyFont="1" applyFill="1"/>
    <xf numFmtId="43" fontId="5" fillId="2" borderId="0" xfId="2" applyNumberFormat="1" applyFont="1" applyFill="1"/>
    <xf numFmtId="43" fontId="9" fillId="0" borderId="0" xfId="2" applyNumberFormat="1" applyFont="1"/>
    <xf numFmtId="0" fontId="8" fillId="0" borderId="1" xfId="0" applyFont="1" applyBorder="1"/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0" fillId="0" borderId="0" xfId="0" applyAlignment="1">
      <alignment horizontal="center"/>
    </xf>
    <xf numFmtId="43" fontId="8" fillId="0" borderId="0" xfId="0" applyNumberFormat="1" applyFont="1"/>
    <xf numFmtId="43" fontId="0" fillId="0" borderId="0" xfId="1" applyFont="1"/>
    <xf numFmtId="0" fontId="12" fillId="0" borderId="0" xfId="0" applyFont="1"/>
    <xf numFmtId="0" fontId="13" fillId="0" borderId="0" xfId="0" applyFont="1"/>
    <xf numFmtId="10" fontId="13" fillId="0" borderId="0" xfId="0" applyNumberFormat="1" applyFont="1"/>
    <xf numFmtId="4" fontId="13" fillId="0" borderId="0" xfId="0" applyNumberFormat="1" applyFont="1"/>
    <xf numFmtId="9" fontId="13" fillId="0" borderId="0" xfId="0" applyNumberFormat="1" applyFont="1"/>
    <xf numFmtId="10" fontId="0" fillId="0" borderId="0" xfId="0" applyNumberFormat="1"/>
    <xf numFmtId="9" fontId="0" fillId="0" borderId="0" xfId="0" applyNumberFormat="1"/>
    <xf numFmtId="0" fontId="14" fillId="4" borderId="0" xfId="0" applyFont="1" applyFill="1" applyAlignment="1">
      <alignment horizontal="center"/>
    </xf>
    <xf numFmtId="0" fontId="14" fillId="0" borderId="0" xfId="0" applyFont="1" applyAlignment="1">
      <alignment horizontal="center"/>
    </xf>
    <xf numFmtId="0" fontId="15" fillId="4" borderId="0" xfId="0" applyFont="1" applyFill="1" applyAlignment="1">
      <alignment horizontal="center"/>
    </xf>
    <xf numFmtId="0" fontId="16" fillId="0" borderId="0" xfId="0" applyFont="1"/>
    <xf numFmtId="0" fontId="17" fillId="0" borderId="0" xfId="0" applyFont="1"/>
    <xf numFmtId="44" fontId="18" fillId="0" borderId="0" xfId="0" applyNumberFormat="1" applyFont="1"/>
    <xf numFmtId="0" fontId="14" fillId="5" borderId="0" xfId="0" applyFont="1" applyFill="1"/>
    <xf numFmtId="44" fontId="0" fillId="0" borderId="0" xfId="0" applyNumberFormat="1"/>
    <xf numFmtId="0" fontId="19" fillId="0" borderId="0" xfId="0" applyFont="1"/>
    <xf numFmtId="44" fontId="14" fillId="0" borderId="2" xfId="0" applyNumberFormat="1" applyFont="1" applyBorder="1"/>
    <xf numFmtId="44" fontId="14" fillId="0" borderId="0" xfId="0" applyNumberFormat="1" applyFont="1"/>
    <xf numFmtId="43" fontId="0" fillId="0" borderId="0" xfId="0" applyNumberFormat="1"/>
    <xf numFmtId="43" fontId="20" fillId="0" borderId="0" xfId="0" applyNumberFormat="1" applyFont="1"/>
    <xf numFmtId="44" fontId="21" fillId="0" borderId="0" xfId="0" applyNumberFormat="1" applyFont="1"/>
    <xf numFmtId="0" fontId="14" fillId="0" borderId="0" xfId="0" applyFont="1"/>
    <xf numFmtId="44" fontId="14" fillId="0" borderId="0" xfId="2" applyFont="1"/>
    <xf numFmtId="43" fontId="16" fillId="0" borderId="0" xfId="1" applyFont="1"/>
    <xf numFmtId="43" fontId="16" fillId="0" borderId="0" xfId="1" applyFont="1" applyBorder="1"/>
    <xf numFmtId="43" fontId="16" fillId="0" borderId="1" xfId="1" applyFont="1" applyBorder="1"/>
    <xf numFmtId="43" fontId="16" fillId="0" borderId="0" xfId="0" applyNumberFormat="1" applyFont="1"/>
    <xf numFmtId="43" fontId="22" fillId="0" borderId="0" xfId="1" applyFont="1"/>
    <xf numFmtId="44" fontId="16" fillId="0" borderId="0" xfId="0" applyNumberFormat="1" applyFont="1"/>
    <xf numFmtId="43" fontId="0" fillId="0" borderId="0" xfId="0" applyNumberFormat="1" applyAlignment="1">
      <alignment horizontal="center"/>
    </xf>
    <xf numFmtId="43" fontId="22" fillId="0" borderId="0" xfId="0" applyNumberFormat="1" applyFont="1" applyAlignment="1">
      <alignment horizontal="center"/>
    </xf>
    <xf numFmtId="43" fontId="22" fillId="0" borderId="0" xfId="0" applyNumberFormat="1" applyFont="1"/>
    <xf numFmtId="44" fontId="0" fillId="0" borderId="0" xfId="0" applyNumberFormat="1" applyAlignment="1">
      <alignment horizontal="center"/>
    </xf>
    <xf numFmtId="43" fontId="0" fillId="0" borderId="1" xfId="0" applyNumberFormat="1" applyBorder="1"/>
    <xf numFmtId="43" fontId="14" fillId="0" borderId="0" xfId="0" applyNumberFormat="1" applyFont="1"/>
    <xf numFmtId="44" fontId="0" fillId="0" borderId="0" xfId="2" applyFont="1"/>
    <xf numFmtId="44" fontId="0" fillId="0" borderId="0" xfId="2" applyFont="1" applyAlignment="1">
      <alignment horizontal="center"/>
    </xf>
    <xf numFmtId="0" fontId="14" fillId="4" borderId="0" xfId="0" applyFont="1" applyFill="1"/>
    <xf numFmtId="43" fontId="0" fillId="0" borderId="3" xfId="0" applyNumberFormat="1" applyBorder="1"/>
    <xf numFmtId="43" fontId="15" fillId="0" borderId="0" xfId="0" applyNumberFormat="1" applyFont="1" applyAlignment="1">
      <alignment horizontal="center"/>
    </xf>
    <xf numFmtId="44" fontId="0" fillId="0" borderId="0" xfId="2" applyFont="1" applyFill="1"/>
    <xf numFmtId="44" fontId="0" fillId="0" borderId="0" xfId="2" applyFont="1" applyFill="1" applyAlignment="1">
      <alignment horizontal="center"/>
    </xf>
    <xf numFmtId="44" fontId="0" fillId="0" borderId="0" xfId="2" applyFont="1" applyBorder="1"/>
    <xf numFmtId="44" fontId="14" fillId="0" borderId="0" xfId="2" applyFont="1" applyBorder="1"/>
    <xf numFmtId="43" fontId="15" fillId="0" borderId="0" xfId="0" applyNumberFormat="1" applyFont="1"/>
    <xf numFmtId="0" fontId="18" fillId="0" borderId="0" xfId="0" applyFont="1" applyAlignment="1">
      <alignment horizontal="center"/>
    </xf>
    <xf numFmtId="0" fontId="23" fillId="6" borderId="0" xfId="0" applyFont="1" applyFill="1" applyAlignment="1">
      <alignment horizontal="center"/>
    </xf>
    <xf numFmtId="0" fontId="24" fillId="6" borderId="0" xfId="0" applyFont="1" applyFill="1" applyAlignment="1">
      <alignment horizontal="center"/>
    </xf>
    <xf numFmtId="14" fontId="0" fillId="0" borderId="0" xfId="0" applyNumberFormat="1"/>
    <xf numFmtId="0" fontId="0" fillId="7" borderId="0" xfId="0" applyFill="1"/>
    <xf numFmtId="43" fontId="14" fillId="7" borderId="0" xfId="0" applyNumberFormat="1" applyFont="1" applyFill="1"/>
    <xf numFmtId="0" fontId="25" fillId="0" borderId="0" xfId="0" applyFont="1"/>
    <xf numFmtId="0" fontId="0" fillId="8" borderId="0" xfId="0" applyFill="1"/>
    <xf numFmtId="43" fontId="14" fillId="8" borderId="0" xfId="0" applyNumberFormat="1" applyFont="1" applyFill="1"/>
    <xf numFmtId="0" fontId="25" fillId="8" borderId="0" xfId="0" applyFont="1" applyFill="1"/>
    <xf numFmtId="0" fontId="22" fillId="0" borderId="0" xfId="0" applyFont="1" applyAlignment="1">
      <alignment horizontal="center"/>
    </xf>
    <xf numFmtId="43" fontId="26" fillId="0" borderId="0" xfId="0" applyNumberFormat="1" applyFont="1"/>
    <xf numFmtId="0" fontId="5" fillId="3" borderId="0" xfId="0" applyFont="1" applyFill="1" applyAlignment="1">
      <alignment horizontal="center"/>
    </xf>
    <xf numFmtId="0" fontId="5" fillId="0" borderId="0" xfId="0" applyFont="1"/>
    <xf numFmtId="0" fontId="28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43" fontId="29" fillId="0" borderId="0" xfId="2" applyNumberFormat="1" applyFont="1"/>
    <xf numFmtId="43" fontId="5" fillId="0" borderId="0" xfId="0" applyNumberFormat="1" applyFont="1"/>
    <xf numFmtId="43" fontId="14" fillId="0" borderId="0" xfId="1" applyFont="1"/>
    <xf numFmtId="43" fontId="14" fillId="0" borderId="0" xfId="1" applyFont="1" applyFill="1"/>
    <xf numFmtId="43" fontId="18" fillId="0" borderId="0" xfId="1" applyFont="1"/>
    <xf numFmtId="0" fontId="22" fillId="0" borderId="0" xfId="0" applyFont="1"/>
    <xf numFmtId="0" fontId="30" fillId="0" borderId="0" xfId="0" applyFont="1"/>
    <xf numFmtId="0" fontId="31" fillId="0" borderId="0" xfId="0" applyFont="1"/>
    <xf numFmtId="0" fontId="32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33" fillId="6" borderId="0" xfId="0" applyFont="1" applyFill="1" applyAlignment="1">
      <alignment horizontal="center" wrapText="1"/>
    </xf>
    <xf numFmtId="43" fontId="33" fillId="6" borderId="0" xfId="1" applyFont="1" applyFill="1" applyAlignment="1">
      <alignment horizontal="center" wrapText="1"/>
    </xf>
    <xf numFmtId="0" fontId="33" fillId="0" borderId="0" xfId="0" applyFont="1" applyAlignment="1">
      <alignment horizontal="center" wrapText="1"/>
    </xf>
    <xf numFmtId="43" fontId="33" fillId="0" borderId="0" xfId="1" applyFont="1" applyFill="1" applyAlignment="1">
      <alignment horizontal="center" wrapText="1"/>
    </xf>
    <xf numFmtId="164" fontId="0" fillId="0" borderId="0" xfId="1" applyNumberFormat="1" applyFont="1" applyFill="1"/>
    <xf numFmtId="43" fontId="0" fillId="0" borderId="0" xfId="1" applyFont="1" applyFill="1"/>
    <xf numFmtId="0" fontId="0" fillId="2" borderId="0" xfId="0" applyFill="1"/>
    <xf numFmtId="43" fontId="0" fillId="0" borderId="1" xfId="1" applyFont="1" applyFill="1" applyBorder="1"/>
    <xf numFmtId="43" fontId="0" fillId="0" borderId="1" xfId="1" applyFont="1" applyBorder="1"/>
    <xf numFmtId="43" fontId="14" fillId="0" borderId="1" xfId="1" applyFont="1" applyBorder="1"/>
    <xf numFmtId="164" fontId="14" fillId="0" borderId="0" xfId="0" applyNumberFormat="1" applyFont="1" applyAlignment="1">
      <alignment horizontal="right" wrapText="1"/>
    </xf>
    <xf numFmtId="43" fontId="14" fillId="0" borderId="1" xfId="1" applyFont="1" applyFill="1" applyBorder="1"/>
    <xf numFmtId="43" fontId="0" fillId="0" borderId="0" xfId="1" applyFont="1" applyFill="1" applyBorder="1"/>
    <xf numFmtId="43" fontId="0" fillId="0" borderId="0" xfId="1" applyFont="1" applyBorder="1"/>
    <xf numFmtId="43" fontId="14" fillId="0" borderId="0" xfId="1" applyFont="1" applyBorder="1"/>
    <xf numFmtId="43" fontId="0" fillId="0" borderId="4" xfId="1" applyFont="1" applyFill="1" applyBorder="1"/>
    <xf numFmtId="43" fontId="14" fillId="0" borderId="2" xfId="1" applyFont="1" applyFill="1" applyBorder="1"/>
    <xf numFmtId="43" fontId="14" fillId="0" borderId="0" xfId="1" applyFont="1" applyFill="1" applyBorder="1"/>
    <xf numFmtId="43" fontId="18" fillId="0" borderId="0" xfId="1" applyFont="1" applyFill="1"/>
    <xf numFmtId="43" fontId="17" fillId="0" borderId="0" xfId="1" applyFont="1"/>
    <xf numFmtId="43" fontId="0" fillId="0" borderId="0" xfId="0" applyNumberFormat="1" applyAlignment="1">
      <alignment horizontal="center" wrapText="1"/>
    </xf>
    <xf numFmtId="0" fontId="0" fillId="0" borderId="1" xfId="0" applyBorder="1"/>
    <xf numFmtId="43" fontId="0" fillId="0" borderId="1" xfId="0" applyNumberFormat="1" applyBorder="1" applyAlignment="1">
      <alignment horizontal="center" wrapText="1"/>
    </xf>
    <xf numFmtId="0" fontId="0" fillId="0" borderId="5" xfId="0" applyBorder="1"/>
    <xf numFmtId="164" fontId="0" fillId="0" borderId="2" xfId="0" applyNumberFormat="1" applyBorder="1"/>
    <xf numFmtId="0" fontId="0" fillId="0" borderId="2" xfId="0" applyBorder="1"/>
    <xf numFmtId="43" fontId="0" fillId="0" borderId="2" xfId="0" applyNumberFormat="1" applyBorder="1"/>
    <xf numFmtId="0" fontId="0" fillId="0" borderId="1" xfId="0" applyBorder="1" applyAlignment="1">
      <alignment horizontal="center"/>
    </xf>
    <xf numFmtId="43" fontId="14" fillId="0" borderId="0" xfId="0" applyNumberFormat="1" applyFont="1" applyAlignment="1">
      <alignment horizontal="center" wrapText="1"/>
    </xf>
    <xf numFmtId="0" fontId="0" fillId="0" borderId="2" xfId="0" applyBorder="1" applyAlignment="1">
      <alignment horizontal="center"/>
    </xf>
    <xf numFmtId="0" fontId="14" fillId="9" borderId="0" xfId="0" applyFont="1" applyFill="1" applyAlignment="1">
      <alignment horizontal="center"/>
    </xf>
    <xf numFmtId="0" fontId="18" fillId="0" borderId="0" xfId="0" applyFont="1"/>
    <xf numFmtId="0" fontId="11" fillId="0" borderId="0" xfId="0" applyFont="1"/>
    <xf numFmtId="0" fontId="17" fillId="0" borderId="0" xfId="0" applyFont="1" applyAlignment="1">
      <alignment wrapText="1"/>
    </xf>
    <xf numFmtId="0" fontId="0" fillId="0" borderId="0" xfId="0" applyAlignment="1">
      <alignment wrapText="1"/>
    </xf>
    <xf numFmtId="44" fontId="14" fillId="10" borderId="2" xfId="2" applyFont="1" applyFill="1" applyBorder="1"/>
    <xf numFmtId="0" fontId="17" fillId="0" borderId="1" xfId="0" applyFont="1" applyBorder="1"/>
    <xf numFmtId="44" fontId="17" fillId="0" borderId="0" xfId="2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44" fontId="14" fillId="0" borderId="0" xfId="0" applyNumberFormat="1" applyFont="1" applyAlignment="1">
      <alignment horizontal="center"/>
    </xf>
    <xf numFmtId="43" fontId="17" fillId="0" borderId="0" xfId="1" applyFont="1" applyBorder="1"/>
    <xf numFmtId="43" fontId="18" fillId="0" borderId="0" xfId="1" applyFont="1" applyBorder="1"/>
    <xf numFmtId="43" fontId="18" fillId="0" borderId="0" xfId="1" applyFont="1" applyFill="1" applyBorder="1"/>
    <xf numFmtId="43" fontId="17" fillId="0" borderId="0" xfId="1" applyFont="1" applyFill="1" applyBorder="1"/>
    <xf numFmtId="0" fontId="17" fillId="0" borderId="2" xfId="0" applyFont="1" applyBorder="1"/>
    <xf numFmtId="43" fontId="30" fillId="0" borderId="0" xfId="1" applyFont="1"/>
    <xf numFmtId="43" fontId="14" fillId="0" borderId="1" xfId="0" applyNumberFormat="1" applyFont="1" applyBorder="1"/>
    <xf numFmtId="43" fontId="30" fillId="0" borderId="1" xfId="1" applyFont="1" applyBorder="1"/>
    <xf numFmtId="43" fontId="15" fillId="0" borderId="0" xfId="1" applyFont="1"/>
    <xf numFmtId="0" fontId="17" fillId="0" borderId="0" xfId="0" applyFont="1" applyAlignment="1">
      <alignment horizontal="center"/>
    </xf>
    <xf numFmtId="43" fontId="22" fillId="0" borderId="0" xfId="1" applyFont="1" applyBorder="1"/>
    <xf numFmtId="43" fontId="15" fillId="0" borderId="0" xfId="1" applyFont="1" applyBorder="1"/>
    <xf numFmtId="43" fontId="14" fillId="10" borderId="2" xfId="2" applyNumberFormat="1" applyFont="1" applyFill="1" applyBorder="1"/>
    <xf numFmtId="43" fontId="17" fillId="0" borderId="0" xfId="0" applyNumberFormat="1" applyFont="1"/>
    <xf numFmtId="44" fontId="17" fillId="0" borderId="0" xfId="0" applyNumberFormat="1" applyFont="1"/>
    <xf numFmtId="43" fontId="17" fillId="0" borderId="0" xfId="0" applyNumberFormat="1" applyFont="1" applyAlignment="1">
      <alignment horizontal="center" wrapText="1"/>
    </xf>
    <xf numFmtId="0" fontId="22" fillId="0" borderId="0" xfId="0" applyFont="1" applyAlignment="1">
      <alignment horizontal="left"/>
    </xf>
    <xf numFmtId="0" fontId="34" fillId="6" borderId="0" xfId="0" applyFont="1" applyFill="1" applyAlignment="1">
      <alignment horizontal="center" wrapText="1"/>
    </xf>
    <xf numFmtId="0" fontId="14" fillId="0" borderId="0" xfId="0" applyFont="1" applyAlignment="1">
      <alignment horizontal="center" wrapText="1"/>
    </xf>
    <xf numFmtId="0" fontId="0" fillId="0" borderId="0" xfId="0" applyAlignment="1">
      <alignment horizontal="left"/>
    </xf>
    <xf numFmtId="44" fontId="14" fillId="0" borderId="0" xfId="0" applyNumberFormat="1" applyFont="1" applyAlignment="1">
      <alignment horizontal="center" wrapText="1"/>
    </xf>
    <xf numFmtId="0" fontId="34" fillId="0" borderId="0" xfId="0" applyFont="1" applyAlignment="1">
      <alignment horizontal="center" wrapText="1"/>
    </xf>
    <xf numFmtId="43" fontId="22" fillId="0" borderId="0" xfId="1" applyFont="1" applyFill="1"/>
    <xf numFmtId="43" fontId="30" fillId="0" borderId="0" xfId="0" applyNumberFormat="1" applyFont="1"/>
    <xf numFmtId="43" fontId="14" fillId="0" borderId="0" xfId="1" applyFont="1" applyFill="1" applyAlignment="1">
      <alignment horizontal="center" wrapText="1"/>
    </xf>
    <xf numFmtId="43" fontId="30" fillId="0" borderId="0" xfId="1" applyFont="1" applyBorder="1"/>
    <xf numFmtId="0" fontId="30" fillId="0" borderId="1" xfId="0" applyFont="1" applyBorder="1"/>
    <xf numFmtId="43" fontId="22" fillId="0" borderId="1" xfId="1" applyFont="1" applyBorder="1"/>
    <xf numFmtId="43" fontId="22" fillId="0" borderId="2" xfId="1" applyFont="1" applyBorder="1"/>
    <xf numFmtId="43" fontId="30" fillId="0" borderId="1" xfId="1" applyFont="1" applyFill="1" applyBorder="1"/>
    <xf numFmtId="13" fontId="0" fillId="0" borderId="0" xfId="1" applyNumberFormat="1" applyFont="1" applyBorder="1"/>
    <xf numFmtId="43" fontId="30" fillId="0" borderId="0" xfId="1" applyFont="1" applyFill="1" applyBorder="1"/>
    <xf numFmtId="43" fontId="16" fillId="0" borderId="0" xfId="1" applyFont="1" applyFill="1"/>
    <xf numFmtId="43" fontId="30" fillId="0" borderId="2" xfId="1" applyFont="1" applyBorder="1"/>
    <xf numFmtId="43" fontId="0" fillId="0" borderId="0" xfId="1" applyFont="1" applyAlignment="1">
      <alignment horizontal="left"/>
    </xf>
    <xf numFmtId="43" fontId="14" fillId="0" borderId="0" xfId="1" applyFont="1" applyAlignment="1">
      <alignment horizontal="left"/>
    </xf>
    <xf numFmtId="0" fontId="0" fillId="4" borderId="0" xfId="0" applyFill="1"/>
    <xf numFmtId="0" fontId="0" fillId="4" borderId="0" xfId="0" applyFill="1" applyAlignment="1">
      <alignment horizontal="left"/>
    </xf>
    <xf numFmtId="43" fontId="0" fillId="4" borderId="0" xfId="1" applyFont="1" applyFill="1" applyAlignment="1">
      <alignment horizontal="left"/>
    </xf>
    <xf numFmtId="43" fontId="14" fillId="4" borderId="0" xfId="1" applyFont="1" applyFill="1" applyAlignment="1">
      <alignment horizontal="left"/>
    </xf>
    <xf numFmtId="2" fontId="0" fillId="0" borderId="0" xfId="0" applyNumberFormat="1"/>
    <xf numFmtId="43" fontId="14" fillId="0" borderId="0" xfId="1" applyFont="1" applyFill="1" applyAlignment="1">
      <alignment horizontal="left"/>
    </xf>
    <xf numFmtId="43" fontId="0" fillId="0" borderId="0" xfId="1" applyFont="1" applyFill="1" applyAlignment="1">
      <alignment horizontal="left"/>
    </xf>
    <xf numFmtId="43" fontId="22" fillId="0" borderId="1" xfId="1" applyFont="1" applyBorder="1" applyAlignment="1">
      <alignment horizontal="left"/>
    </xf>
    <xf numFmtId="43" fontId="22" fillId="4" borderId="1" xfId="1" applyFont="1" applyFill="1" applyBorder="1" applyAlignment="1">
      <alignment horizontal="left"/>
    </xf>
    <xf numFmtId="43" fontId="15" fillId="4" borderId="0" xfId="1" applyFont="1" applyFill="1"/>
    <xf numFmtId="43" fontId="14" fillId="4" borderId="0" xfId="1" applyFont="1" applyFill="1"/>
    <xf numFmtId="43" fontId="16" fillId="0" borderId="0" xfId="1" applyFont="1" applyFill="1" applyBorder="1"/>
    <xf numFmtId="44" fontId="35" fillId="10" borderId="6" xfId="0" applyNumberFormat="1" applyFont="1" applyFill="1" applyBorder="1"/>
    <xf numFmtId="44" fontId="22" fillId="0" borderId="0" xfId="0" applyNumberFormat="1" applyFont="1"/>
    <xf numFmtId="44" fontId="22" fillId="0" borderId="0" xfId="2" applyFont="1"/>
    <xf numFmtId="0" fontId="36" fillId="0" borderId="0" xfId="0" applyFont="1"/>
    <xf numFmtId="0" fontId="37" fillId="0" borderId="0" xfId="0" applyFont="1"/>
    <xf numFmtId="43" fontId="36" fillId="0" borderId="0" xfId="1" applyFont="1" applyFill="1" applyBorder="1"/>
    <xf numFmtId="43" fontId="37" fillId="0" borderId="0" xfId="1" applyFont="1" applyBorder="1"/>
    <xf numFmtId="0" fontId="15" fillId="0" borderId="0" xfId="0" applyFont="1"/>
    <xf numFmtId="43" fontId="14" fillId="0" borderId="0" xfId="1" applyFont="1" applyBorder="1" applyAlignment="1">
      <alignment horizontal="center"/>
    </xf>
    <xf numFmtId="43" fontId="30" fillId="0" borderId="5" xfId="1" applyFont="1" applyBorder="1"/>
    <xf numFmtId="44" fontId="30" fillId="0" borderId="0" xfId="0" applyNumberFormat="1" applyFont="1"/>
    <xf numFmtId="44" fontId="22" fillId="0" borderId="0" xfId="2" applyFont="1" applyFill="1"/>
    <xf numFmtId="43" fontId="37" fillId="0" borderId="0" xfId="1" applyFont="1" applyFill="1" applyBorder="1"/>
    <xf numFmtId="44" fontId="36" fillId="0" borderId="0" xfId="0" applyNumberFormat="1" applyFont="1"/>
    <xf numFmtId="43" fontId="36" fillId="0" borderId="0" xfId="0" applyNumberFormat="1" applyFont="1"/>
    <xf numFmtId="43" fontId="36" fillId="0" borderId="0" xfId="1" applyFont="1" applyBorder="1"/>
    <xf numFmtId="43" fontId="15" fillId="0" borderId="0" xfId="1" applyFont="1" applyFill="1" applyBorder="1"/>
    <xf numFmtId="43" fontId="14" fillId="0" borderId="0" xfId="1" applyFont="1" applyFill="1" applyBorder="1" applyAlignment="1">
      <alignment horizontal="center"/>
    </xf>
    <xf numFmtId="13" fontId="0" fillId="0" borderId="0" xfId="0" applyNumberFormat="1"/>
    <xf numFmtId="165" fontId="0" fillId="0" borderId="0" xfId="1" applyNumberFormat="1" applyFont="1" applyBorder="1"/>
    <xf numFmtId="0" fontId="38" fillId="0" borderId="0" xfId="0" applyFont="1"/>
    <xf numFmtId="0" fontId="39" fillId="0" borderId="0" xfId="0" applyFont="1"/>
    <xf numFmtId="0" fontId="40" fillId="0" borderId="0" xfId="0" applyFont="1"/>
    <xf numFmtId="43" fontId="19" fillId="0" borderId="0" xfId="1" applyFont="1" applyFill="1"/>
    <xf numFmtId="43" fontId="19" fillId="0" borderId="0" xfId="1" applyFont="1"/>
    <xf numFmtId="0" fontId="34" fillId="6" borderId="0" xfId="0" applyFont="1" applyFill="1" applyAlignment="1">
      <alignment horizontal="center" vertical="center" wrapText="1"/>
    </xf>
    <xf numFmtId="0" fontId="28" fillId="5" borderId="0" xfId="0" applyFont="1" applyFill="1" applyAlignment="1">
      <alignment horizontal="center"/>
    </xf>
    <xf numFmtId="44" fontId="35" fillId="0" borderId="0" xfId="0" applyNumberFormat="1" applyFont="1"/>
    <xf numFmtId="0" fontId="15" fillId="0" borderId="0" xfId="0" applyFont="1" applyAlignment="1">
      <alignment vertical="center"/>
    </xf>
    <xf numFmtId="43" fontId="34" fillId="6" borderId="0" xfId="1" applyFont="1" applyFill="1" applyAlignment="1">
      <alignment horizontal="center" wrapText="1"/>
    </xf>
    <xf numFmtId="43" fontId="41" fillId="6" borderId="0" xfId="1" applyFont="1" applyFill="1" applyAlignment="1">
      <alignment horizontal="center" wrapText="1"/>
    </xf>
    <xf numFmtId="43" fontId="41" fillId="6" borderId="0" xfId="1" applyFont="1" applyFill="1" applyAlignment="1">
      <alignment horizontal="center" vertical="center" wrapText="1"/>
    </xf>
    <xf numFmtId="43" fontId="35" fillId="0" borderId="0" xfId="1" applyFont="1" applyFill="1" applyBorder="1"/>
    <xf numFmtId="44" fontId="19" fillId="0" borderId="0" xfId="2" applyFont="1" applyFill="1"/>
    <xf numFmtId="43" fontId="22" fillId="0" borderId="0" xfId="1" applyFont="1" applyAlignment="1">
      <alignment horizontal="center"/>
    </xf>
    <xf numFmtId="16" fontId="0" fillId="0" borderId="0" xfId="0" applyNumberFormat="1"/>
    <xf numFmtId="0" fontId="42" fillId="0" borderId="0" xfId="0" applyFont="1"/>
    <xf numFmtId="44" fontId="19" fillId="0" borderId="0" xfId="2" applyFont="1" applyFill="1" applyBorder="1"/>
    <xf numFmtId="0" fontId="0" fillId="0" borderId="5" xfId="0" applyBorder="1" applyAlignment="1">
      <alignment horizontal="center"/>
    </xf>
    <xf numFmtId="0" fontId="28" fillId="4" borderId="0" xfId="0" applyFont="1" applyFill="1" applyAlignment="1">
      <alignment horizontal="center"/>
    </xf>
    <xf numFmtId="13" fontId="0" fillId="0" borderId="0" xfId="1" applyNumberFormat="1" applyFont="1"/>
    <xf numFmtId="0" fontId="43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43" fontId="38" fillId="0" borderId="0" xfId="1" applyFont="1"/>
    <xf numFmtId="43" fontId="38" fillId="0" borderId="0" xfId="1" applyFont="1" applyFill="1"/>
    <xf numFmtId="44" fontId="38" fillId="0" borderId="0" xfId="2" applyFont="1"/>
    <xf numFmtId="0" fontId="38" fillId="0" borderId="0" xfId="0" applyFont="1" applyAlignment="1">
      <alignment horizontal="center"/>
    </xf>
    <xf numFmtId="165" fontId="0" fillId="0" borderId="0" xfId="1" applyNumberFormat="1" applyFont="1"/>
    <xf numFmtId="0" fontId="23" fillId="6" borderId="0" xfId="0" applyFont="1" applyFill="1" applyAlignment="1">
      <alignment horizontal="center" wrapText="1"/>
    </xf>
    <xf numFmtId="0" fontId="23" fillId="11" borderId="0" xfId="0" applyFont="1" applyFill="1" applyAlignment="1">
      <alignment horizontal="center" wrapText="1"/>
    </xf>
    <xf numFmtId="43" fontId="16" fillId="0" borderId="7" xfId="1" applyFont="1" applyBorder="1"/>
    <xf numFmtId="0" fontId="44" fillId="0" borderId="0" xfId="0" applyFont="1"/>
    <xf numFmtId="0" fontId="16" fillId="0" borderId="0" xfId="0" applyFont="1" applyAlignment="1">
      <alignment wrapText="1"/>
    </xf>
    <xf numFmtId="43" fontId="16" fillId="0" borderId="7" xfId="1" applyFont="1" applyFill="1" applyBorder="1"/>
    <xf numFmtId="0" fontId="0" fillId="0" borderId="7" xfId="0" applyBorder="1"/>
    <xf numFmtId="43" fontId="15" fillId="0" borderId="0" xfId="1" applyFont="1" applyFill="1"/>
    <xf numFmtId="0" fontId="44" fillId="0" borderId="0" xfId="0" applyFont="1" applyAlignment="1">
      <alignment horizontal="left"/>
    </xf>
    <xf numFmtId="43" fontId="16" fillId="0" borderId="1" xfId="1" applyFont="1" applyFill="1" applyBorder="1"/>
    <xf numFmtId="0" fontId="25" fillId="0" borderId="0" xfId="0" applyFont="1" applyAlignment="1">
      <alignment horizontal="center"/>
    </xf>
    <xf numFmtId="0" fontId="45" fillId="0" borderId="0" xfId="0" applyFont="1" applyAlignment="1">
      <alignment horizontal="center"/>
    </xf>
    <xf numFmtId="43" fontId="44" fillId="0" borderId="0" xfId="1" applyFont="1" applyFill="1"/>
    <xf numFmtId="43" fontId="44" fillId="0" borderId="0" xfId="1" applyFont="1"/>
    <xf numFmtId="0" fontId="16" fillId="0" borderId="0" xfId="0" applyFont="1" applyAlignment="1">
      <alignment horizontal="center"/>
    </xf>
    <xf numFmtId="43" fontId="15" fillId="0" borderId="7" xfId="1" applyFont="1" applyBorder="1"/>
    <xf numFmtId="43" fontId="15" fillId="0" borderId="7" xfId="1" applyFont="1" applyFill="1" applyBorder="1"/>
    <xf numFmtId="43" fontId="16" fillId="0" borderId="7" xfId="1" applyFont="1" applyBorder="1" applyAlignment="1">
      <alignment horizontal="center"/>
    </xf>
    <xf numFmtId="44" fontId="16" fillId="0" borderId="7" xfId="2" applyFont="1" applyFill="1" applyBorder="1"/>
    <xf numFmtId="43" fontId="15" fillId="0" borderId="0" xfId="1" applyFont="1" applyAlignment="1">
      <alignment horizontal="center"/>
    </xf>
    <xf numFmtId="43" fontId="16" fillId="0" borderId="0" xfId="1" applyFont="1" applyBorder="1" applyAlignment="1">
      <alignment horizontal="center"/>
    </xf>
    <xf numFmtId="44" fontId="16" fillId="0" borderId="0" xfId="2" applyFont="1" applyBorder="1"/>
    <xf numFmtId="43" fontId="16" fillId="0" borderId="0" xfId="1" applyFont="1" applyAlignment="1">
      <alignment horizontal="center"/>
    </xf>
    <xf numFmtId="44" fontId="16" fillId="0" borderId="0" xfId="2" applyFont="1" applyFill="1" applyBorder="1"/>
    <xf numFmtId="0" fontId="14" fillId="0" borderId="7" xfId="0" applyFont="1" applyBorder="1"/>
    <xf numFmtId="43" fontId="15" fillId="0" borderId="0" xfId="1" applyFont="1" applyBorder="1" applyAlignment="1">
      <alignment horizontal="center"/>
    </xf>
    <xf numFmtId="43" fontId="15" fillId="0" borderId="1" xfId="1" applyFont="1" applyBorder="1"/>
    <xf numFmtId="43" fontId="15" fillId="0" borderId="1" xfId="1" applyFont="1" applyFill="1" applyBorder="1"/>
    <xf numFmtId="43" fontId="16" fillId="0" borderId="1" xfId="1" applyFont="1" applyBorder="1" applyAlignment="1">
      <alignment horizontal="center"/>
    </xf>
    <xf numFmtId="44" fontId="16" fillId="0" borderId="1" xfId="2" applyFont="1" applyFill="1" applyBorder="1"/>
    <xf numFmtId="43" fontId="15" fillId="0" borderId="0" xfId="1" applyFont="1" applyFill="1" applyAlignment="1">
      <alignment horizontal="center"/>
    </xf>
    <xf numFmtId="43" fontId="46" fillId="0" borderId="0" xfId="1" applyFont="1" applyFill="1"/>
    <xf numFmtId="43" fontId="46" fillId="0" borderId="0" xfId="1" applyFont="1"/>
    <xf numFmtId="43" fontId="44" fillId="0" borderId="0" xfId="1" applyFont="1" applyAlignment="1">
      <alignment horizontal="center"/>
    </xf>
    <xf numFmtId="0" fontId="38" fillId="0" borderId="1" xfId="0" applyFont="1" applyBorder="1" applyAlignment="1">
      <alignment horizontal="center"/>
    </xf>
    <xf numFmtId="0" fontId="38" fillId="0" borderId="2" xfId="0" applyFont="1" applyBorder="1" applyAlignment="1">
      <alignment horizontal="center"/>
    </xf>
    <xf numFmtId="43" fontId="44" fillId="0" borderId="0" xfId="1" applyFont="1" applyFill="1" applyAlignment="1">
      <alignment horizontal="center"/>
    </xf>
    <xf numFmtId="44" fontId="0" fillId="0" borderId="0" xfId="2" applyFont="1" applyFill="1" applyBorder="1"/>
    <xf numFmtId="44" fontId="15" fillId="10" borderId="8" xfId="2" applyFont="1" applyFill="1" applyBorder="1"/>
    <xf numFmtId="44" fontId="15" fillId="0" borderId="0" xfId="2" applyFont="1" applyFill="1" applyBorder="1"/>
    <xf numFmtId="0" fontId="15" fillId="0" borderId="9" xfId="0" applyFont="1" applyBorder="1"/>
    <xf numFmtId="43" fontId="16" fillId="0" borderId="7" xfId="1" applyFont="1" applyFill="1" applyBorder="1" applyAlignment="1">
      <alignment horizontal="center"/>
    </xf>
    <xf numFmtId="43" fontId="16" fillId="0" borderId="0" xfId="1" applyFont="1" applyFill="1" applyAlignment="1">
      <alignment horizontal="center"/>
    </xf>
    <xf numFmtId="43" fontId="16" fillId="0" borderId="0" xfId="1" applyFont="1" applyFill="1" applyBorder="1" applyAlignment="1">
      <alignment horizontal="center"/>
    </xf>
    <xf numFmtId="44" fontId="15" fillId="0" borderId="0" xfId="2" applyFont="1" applyFill="1" applyBorder="1" applyAlignment="1">
      <alignment horizontal="center"/>
    </xf>
    <xf numFmtId="43" fontId="0" fillId="0" borderId="0" xfId="1" applyFont="1" applyAlignment="1">
      <alignment horizontal="center"/>
    </xf>
    <xf numFmtId="43" fontId="0" fillId="0" borderId="0" xfId="1" applyFont="1" applyFill="1" applyBorder="1" applyAlignment="1">
      <alignment horizontal="center"/>
    </xf>
    <xf numFmtId="43" fontId="0" fillId="0" borderId="0" xfId="1" applyFont="1" applyBorder="1" applyAlignment="1">
      <alignment horizontal="center"/>
    </xf>
    <xf numFmtId="10" fontId="14" fillId="0" borderId="0" xfId="0" applyNumberFormat="1" applyFont="1"/>
    <xf numFmtId="43" fontId="25" fillId="0" borderId="0" xfId="1" applyFont="1" applyFill="1" applyBorder="1"/>
    <xf numFmtId="43" fontId="25" fillId="0" borderId="0" xfId="1" applyFont="1" applyBorder="1"/>
    <xf numFmtId="43" fontId="45" fillId="0" borderId="0" xfId="1" applyFont="1" applyBorder="1"/>
    <xf numFmtId="43" fontId="45" fillId="0" borderId="0" xfId="1" applyFont="1" applyFill="1" applyBorder="1"/>
    <xf numFmtId="43" fontId="25" fillId="0" borderId="0" xfId="1" applyFont="1" applyBorder="1" applyAlignment="1">
      <alignment horizontal="center"/>
    </xf>
    <xf numFmtId="16" fontId="14" fillId="0" borderId="0" xfId="0" applyNumberFormat="1" applyFont="1"/>
    <xf numFmtId="0" fontId="4" fillId="0" borderId="0" xfId="0" applyFont="1"/>
    <xf numFmtId="44" fontId="0" fillId="0" borderId="7" xfId="2" applyFont="1" applyFill="1" applyBorder="1"/>
    <xf numFmtId="43" fontId="44" fillId="0" borderId="0" xfId="1" applyFont="1" applyFill="1" applyBorder="1"/>
    <xf numFmtId="0" fontId="3" fillId="0" borderId="0" xfId="0" applyFont="1" applyAlignment="1">
      <alignment horizontal="left"/>
    </xf>
    <xf numFmtId="43" fontId="0" fillId="2" borderId="0" xfId="1" applyFont="1" applyFill="1" applyBorder="1"/>
    <xf numFmtId="0" fontId="35" fillId="0" borderId="0" xfId="0" applyFont="1"/>
    <xf numFmtId="0" fontId="2" fillId="0" borderId="0" xfId="0" applyFont="1"/>
    <xf numFmtId="0" fontId="1" fillId="0" borderId="0" xfId="0" applyFont="1"/>
    <xf numFmtId="44" fontId="0" fillId="12" borderId="0" xfId="0" applyNumberFormat="1" applyFill="1"/>
    <xf numFmtId="0" fontId="0" fillId="12" borderId="0" xfId="0" applyFill="1" applyAlignment="1">
      <alignment horizontal="center"/>
    </xf>
    <xf numFmtId="0" fontId="0" fillId="0" borderId="0" xfId="0" applyAlignment="1">
      <alignment horizontal="center"/>
    </xf>
    <xf numFmtId="0" fontId="38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/>
    </xf>
    <xf numFmtId="0" fontId="15" fillId="0" borderId="9" xfId="0" applyFont="1" applyBorder="1" applyAlignment="1">
      <alignment horizontal="center"/>
    </xf>
    <xf numFmtId="0" fontId="38" fillId="0" borderId="1" xfId="0" applyFont="1" applyBorder="1" applyAlignment="1">
      <alignment horizontal="center"/>
    </xf>
    <xf numFmtId="0" fontId="30" fillId="0" borderId="0" xfId="0" applyFont="1" applyAlignment="1">
      <alignment horizontal="center"/>
    </xf>
    <xf numFmtId="0" fontId="38" fillId="0" borderId="5" xfId="0" applyFont="1" applyBorder="1" applyAlignment="1">
      <alignment horizontal="center"/>
    </xf>
    <xf numFmtId="0" fontId="22" fillId="0" borderId="0" xfId="0" applyFont="1" applyAlignment="1">
      <alignment horizontal="center"/>
    </xf>
    <xf numFmtId="0" fontId="15" fillId="0" borderId="2" xfId="0" applyFont="1" applyBorder="1" applyAlignment="1">
      <alignment horizontal="center"/>
    </xf>
    <xf numFmtId="0" fontId="14" fillId="0" borderId="0" xfId="0" applyFont="1" applyAlignment="1">
      <alignment horizontal="left" wrapText="1"/>
    </xf>
    <xf numFmtId="0" fontId="30" fillId="0" borderId="0" xfId="0" applyFont="1" applyAlignment="1">
      <alignment horizontal="left"/>
    </xf>
    <xf numFmtId="0" fontId="14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0" fontId="5" fillId="0" borderId="2" xfId="0" applyFont="1" applyBorder="1" applyAlignment="1">
      <alignment horizontal="center"/>
    </xf>
    <xf numFmtId="0" fontId="22" fillId="6" borderId="0" xfId="0" applyFont="1" applyFill="1" applyAlignment="1">
      <alignment horizontal="center" vertical="center"/>
    </xf>
    <xf numFmtId="0" fontId="14" fillId="4" borderId="0" xfId="0" applyFont="1" applyFill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0" xfId="0" applyFont="1" applyAlignment="1">
      <alignment horizontal="center"/>
    </xf>
  </cellXfs>
  <cellStyles count="7">
    <cellStyle name="Millares" xfId="1" builtinId="3"/>
    <cellStyle name="Millares 2" xfId="3" xr:uid="{00000000-0005-0000-0000-000031000000}"/>
    <cellStyle name="Millares 3" xfId="4" xr:uid="{00000000-0005-0000-0000-000032000000}"/>
    <cellStyle name="Moneda" xfId="2" builtinId="4"/>
    <cellStyle name="Moneda 2" xfId="5" xr:uid="{00000000-0005-0000-0000-000033000000}"/>
    <cellStyle name="Moneda 3" xfId="6" xr:uid="{00000000-0005-0000-0000-000034000000}"/>
    <cellStyle name="Normal" xfId="0" builtinId="0"/>
  </cellStyles>
  <dxfs count="0"/>
  <tableStyles count="0" defaultTableStyle="TableStyleMedium2" defaultPivotStyle="PivotStyleLight16"/>
  <colors>
    <mruColors>
      <color rgb="FFBC14A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/>
  </sheetPr>
  <dimension ref="A1:AB140"/>
  <sheetViews>
    <sheetView topLeftCell="A76" zoomScale="70" zoomScaleNormal="70" workbookViewId="0">
      <pane xSplit="5" topLeftCell="F1" activePane="topRight" state="frozen"/>
      <selection pane="topRight" activeCell="K69" sqref="K69"/>
    </sheetView>
  </sheetViews>
  <sheetFormatPr baseColWidth="10" defaultColWidth="11.42578125" defaultRowHeight="15"/>
  <cols>
    <col min="1" max="1" width="12" style="18" customWidth="1"/>
    <col min="2" max="2" width="6.42578125" style="29" customWidth="1"/>
    <col min="3" max="3" width="44.7109375" customWidth="1"/>
    <col min="4" max="4" width="27.85546875" customWidth="1"/>
    <col min="5" max="5" width="18.140625" customWidth="1"/>
    <col min="6" max="6" width="17" customWidth="1"/>
    <col min="7" max="7" width="13" customWidth="1"/>
    <col min="8" max="8" width="15.140625" customWidth="1"/>
    <col min="9" max="9" width="14.140625" style="42" customWidth="1"/>
    <col min="10" max="10" width="14.7109375" customWidth="1"/>
    <col min="11" max="12" width="13.7109375" style="42" customWidth="1"/>
    <col min="13" max="13" width="12.5703125" style="18" customWidth="1"/>
    <col min="14" max="14" width="14.140625" customWidth="1"/>
    <col min="15" max="15" width="25.7109375" customWidth="1"/>
    <col min="16" max="16" width="53.28515625" customWidth="1"/>
    <col min="17" max="17" width="13.28515625" customWidth="1"/>
    <col min="18" max="18" width="26" customWidth="1"/>
    <col min="19" max="19" width="19.28515625" customWidth="1"/>
    <col min="20" max="20" width="13.85546875" customWidth="1"/>
    <col min="21" max="21" width="11.42578125" customWidth="1"/>
  </cols>
  <sheetData>
    <row r="1" spans="1:28">
      <c r="I1" s="29"/>
    </row>
    <row r="2" spans="1:28" ht="18.75">
      <c r="B2" s="29" t="s">
        <v>0</v>
      </c>
      <c r="C2" s="303" t="s">
        <v>1</v>
      </c>
      <c r="D2" s="303"/>
      <c r="E2" s="303"/>
      <c r="F2" s="303"/>
      <c r="G2" s="31"/>
      <c r="H2" s="31"/>
      <c r="I2" s="188"/>
      <c r="J2" s="31"/>
      <c r="K2" s="188"/>
      <c r="L2" s="188"/>
      <c r="M2" s="243"/>
      <c r="N2" s="31"/>
      <c r="O2" s="31"/>
    </row>
    <row r="3" spans="1:28" ht="18.75">
      <c r="C3" s="301" t="s">
        <v>524</v>
      </c>
      <c r="D3" s="301"/>
      <c r="E3" s="301"/>
      <c r="F3" s="31"/>
      <c r="G3" s="31"/>
      <c r="H3" s="31"/>
      <c r="I3" s="188"/>
      <c r="J3" s="31"/>
      <c r="K3" s="188"/>
      <c r="L3" s="188"/>
      <c r="M3" s="243"/>
      <c r="N3" s="31"/>
      <c r="O3" s="31"/>
    </row>
    <row r="4" spans="1:28" ht="15.75">
      <c r="C4" s="31"/>
      <c r="D4" s="31"/>
      <c r="E4" s="31"/>
      <c r="F4" s="31"/>
      <c r="G4" s="31"/>
      <c r="H4" s="31"/>
      <c r="I4" s="188"/>
      <c r="J4" s="31"/>
      <c r="K4" s="188"/>
      <c r="L4" s="188"/>
      <c r="M4" s="243"/>
      <c r="N4" s="31"/>
      <c r="O4" s="31"/>
      <c r="P4" t="s">
        <v>2</v>
      </c>
    </row>
    <row r="5" spans="1:28" ht="15.75">
      <c r="C5" s="90" t="s">
        <v>3</v>
      </c>
      <c r="D5" s="31"/>
      <c r="E5" s="31"/>
      <c r="F5" s="31"/>
      <c r="G5" s="31"/>
      <c r="H5" s="31"/>
      <c r="I5" s="188"/>
      <c r="J5" s="31"/>
      <c r="K5" s="188"/>
      <c r="L5" s="188"/>
      <c r="M5" s="243"/>
      <c r="N5" s="31"/>
      <c r="O5" s="80"/>
    </row>
    <row r="6" spans="1:28" ht="15.75">
      <c r="C6" s="91" t="s">
        <v>4</v>
      </c>
      <c r="D6" s="31"/>
      <c r="E6" s="31"/>
      <c r="F6" s="31"/>
      <c r="G6" s="31"/>
      <c r="H6" s="31"/>
      <c r="I6" s="188"/>
      <c r="J6" s="31"/>
      <c r="K6" s="188"/>
      <c r="L6" s="188"/>
      <c r="M6" s="243"/>
      <c r="N6" s="31"/>
      <c r="O6" s="91" t="s">
        <v>525</v>
      </c>
      <c r="P6" s="42"/>
    </row>
    <row r="7" spans="1:28" ht="47.25">
      <c r="A7" s="18" t="s">
        <v>5</v>
      </c>
      <c r="B7" s="29" t="s">
        <v>6</v>
      </c>
      <c r="C7" s="229" t="s">
        <v>7</v>
      </c>
      <c r="D7" s="229" t="s">
        <v>8</v>
      </c>
      <c r="E7" s="229" t="s">
        <v>9</v>
      </c>
      <c r="F7" s="229" t="s">
        <v>10</v>
      </c>
      <c r="G7" s="229" t="s">
        <v>11</v>
      </c>
      <c r="H7" s="230" t="s">
        <v>12</v>
      </c>
      <c r="I7" s="229" t="s">
        <v>13</v>
      </c>
      <c r="J7" s="229" t="s">
        <v>14</v>
      </c>
      <c r="K7" s="229" t="s">
        <v>341</v>
      </c>
      <c r="L7" s="229" t="s">
        <v>15</v>
      </c>
      <c r="M7" s="229" t="s">
        <v>16</v>
      </c>
      <c r="N7" s="229" t="s">
        <v>17</v>
      </c>
      <c r="O7" s="229" t="s">
        <v>18</v>
      </c>
    </row>
    <row r="8" spans="1:28" ht="15.75">
      <c r="C8" s="31"/>
      <c r="D8" s="31"/>
      <c r="E8" s="31"/>
      <c r="F8" s="31"/>
      <c r="H8" s="31"/>
      <c r="I8" s="188"/>
      <c r="J8" s="31"/>
      <c r="K8" s="188"/>
      <c r="L8" s="188"/>
      <c r="M8" s="243"/>
      <c r="N8" s="31"/>
      <c r="O8" s="31"/>
    </row>
    <row r="9" spans="1:28" ht="15.75">
      <c r="C9" s="91" t="s">
        <v>19</v>
      </c>
      <c r="D9" s="31"/>
      <c r="E9" s="31"/>
      <c r="F9" s="31"/>
      <c r="G9" s="31"/>
      <c r="H9" s="31"/>
      <c r="I9" s="188"/>
      <c r="J9" s="47"/>
      <c r="K9" s="188"/>
      <c r="L9" s="188"/>
      <c r="M9" s="243"/>
      <c r="N9" s="31"/>
      <c r="O9" s="31"/>
    </row>
    <row r="10" spans="1:28" ht="35.25" customHeight="1">
      <c r="A10" s="18" t="s">
        <v>20</v>
      </c>
      <c r="B10" s="29">
        <v>1</v>
      </c>
      <c r="C10" s="31" t="s">
        <v>21</v>
      </c>
      <c r="D10" s="31" t="s">
        <v>22</v>
      </c>
      <c r="E10" s="231">
        <v>5305.9859999999999</v>
      </c>
      <c r="F10" s="231">
        <v>0</v>
      </c>
      <c r="G10" s="231">
        <v>200</v>
      </c>
      <c r="H10" s="234">
        <f>(E10/15)*12/2</f>
        <v>2122.3944000000001</v>
      </c>
      <c r="I10" s="244"/>
      <c r="J10" s="231">
        <f>(E10-(LOOKUP(E10,ISR!$A$6:$B$17,ISR!$A$6:$A$17)))*(LOOKUP(E10,ISR!$A$6:$B$17,ISR!$D$6:$D$17))+(LOOKUP(E10,ISR!$A$6:$B$17,ISR!$C$6:$C$17))</f>
        <v>420.81090879999994</v>
      </c>
      <c r="K10" s="245">
        <v>0</v>
      </c>
      <c r="L10" s="244"/>
      <c r="M10" s="246">
        <v>28.9</v>
      </c>
      <c r="N10" s="231">
        <v>71.849999999999994</v>
      </c>
      <c r="O10" s="247">
        <f>E10+F10+G10+H10+I10-J10-K10-L10-M10-N10</f>
        <v>7106.8194911999999</v>
      </c>
      <c r="P10" s="297" t="s">
        <v>23</v>
      </c>
      <c r="Q10" s="297"/>
      <c r="R10" s="297"/>
      <c r="S10" s="63"/>
    </row>
    <row r="11" spans="1:28" ht="24.75" customHeight="1">
      <c r="C11" s="31"/>
      <c r="D11" s="31"/>
      <c r="E11" s="141">
        <f>SUM(E10)</f>
        <v>5305.9859999999999</v>
      </c>
      <c r="F11" s="141">
        <f t="shared" ref="F11:O11" si="0">SUM(F10)</f>
        <v>0</v>
      </c>
      <c r="G11" s="141">
        <f t="shared" si="0"/>
        <v>200</v>
      </c>
      <c r="H11" s="236">
        <f t="shared" si="0"/>
        <v>2122.3944000000001</v>
      </c>
      <c r="I11" s="141">
        <f t="shared" si="0"/>
        <v>0</v>
      </c>
      <c r="J11" s="141">
        <f t="shared" si="0"/>
        <v>420.81090879999994</v>
      </c>
      <c r="K11" s="236">
        <f t="shared" si="0"/>
        <v>0</v>
      </c>
      <c r="L11" s="141">
        <f t="shared" si="0"/>
        <v>0</v>
      </c>
      <c r="M11" s="248">
        <f>+M10</f>
        <v>28.9</v>
      </c>
      <c r="N11" s="141">
        <f>+N10</f>
        <v>71.849999999999994</v>
      </c>
      <c r="O11" s="141">
        <f t="shared" si="0"/>
        <v>7106.8194911999999</v>
      </c>
      <c r="S11" s="63"/>
      <c r="T11" s="84">
        <f>SUM(T10)</f>
        <v>0</v>
      </c>
    </row>
    <row r="12" spans="1:28" ht="15.75">
      <c r="C12" s="91" t="s">
        <v>24</v>
      </c>
      <c r="D12" s="31"/>
      <c r="E12" s="45"/>
      <c r="F12" s="45"/>
      <c r="G12" s="45"/>
      <c r="H12" s="180"/>
      <c r="I12" s="144"/>
      <c r="J12" s="45"/>
      <c r="K12" s="197"/>
      <c r="L12" s="144"/>
      <c r="M12" s="249"/>
      <c r="N12" s="45"/>
      <c r="O12" s="250"/>
      <c r="S12" s="63"/>
    </row>
    <row r="13" spans="1:28" ht="29.25" customHeight="1">
      <c r="A13" s="18">
        <v>23</v>
      </c>
      <c r="B13" s="29">
        <v>2</v>
      </c>
      <c r="C13" s="31" t="s">
        <v>25</v>
      </c>
      <c r="D13" s="31" t="s">
        <v>26</v>
      </c>
      <c r="E13" s="165">
        <v>5305.9859999999999</v>
      </c>
      <c r="F13" s="44">
        <v>0</v>
      </c>
      <c r="G13" s="44">
        <v>200</v>
      </c>
      <c r="H13" s="165">
        <f>(E13/15)*13/2</f>
        <v>2299.2606000000001</v>
      </c>
      <c r="I13" s="141"/>
      <c r="J13" s="45">
        <f>(E13-(LOOKUP(E13,ISR!$A$6:$B$17,ISR!$A$6:$A$17)))*(LOOKUP(E13,ISR!$A$6:$B$17,ISR!$D$6:$D$17))+(LOOKUP(E13,ISR!$A$6:$B$17,ISR!$C$6:$C$17))</f>
        <v>420.81090879999994</v>
      </c>
      <c r="K13" s="236"/>
      <c r="L13" s="141">
        <v>0</v>
      </c>
      <c r="M13" s="251">
        <v>28.9</v>
      </c>
      <c r="N13" s="44">
        <v>71.849999999999994</v>
      </c>
      <c r="O13" s="252">
        <f>E13+F13+G13+H13+I13-J13-K13-L13-M13-N13</f>
        <v>7283.6856912000003</v>
      </c>
      <c r="P13" s="297" t="s">
        <v>23</v>
      </c>
      <c r="Q13" s="297"/>
      <c r="R13" s="297"/>
      <c r="S13" s="63"/>
      <c r="Y13">
        <f>+W13-X13</f>
        <v>0</v>
      </c>
      <c r="Z13">
        <f>+W13/2</f>
        <v>0</v>
      </c>
      <c r="AA13">
        <f>+X13/2</f>
        <v>0</v>
      </c>
      <c r="AB13">
        <f>+Z13-AA13</f>
        <v>0</v>
      </c>
    </row>
    <row r="14" spans="1:28" ht="46.5" customHeight="1">
      <c r="A14" s="18">
        <v>3</v>
      </c>
      <c r="B14" s="29">
        <v>3</v>
      </c>
      <c r="C14" s="232" t="s">
        <v>27</v>
      </c>
      <c r="D14" s="31" t="s">
        <v>26</v>
      </c>
      <c r="E14" s="180">
        <v>4861.4579999999996</v>
      </c>
      <c r="F14" s="45">
        <v>0</v>
      </c>
      <c r="G14" s="45">
        <v>200</v>
      </c>
      <c r="H14" s="180">
        <f>(E14/15)*13/2</f>
        <v>2106.6318000000001</v>
      </c>
      <c r="I14" s="144">
        <v>0</v>
      </c>
      <c r="J14" s="45">
        <f>(E14-(LOOKUP(E14,ISR!$A$6:$B$17,ISR!$A$6:$A$17)))*(LOOKUP(E14,ISR!$A$6:$B$17,ISR!$D$6:$D$17))+(LOOKUP(E14,ISR!$A$6:$B$17,ISR!$C$6:$C$17))</f>
        <v>372.44626239999991</v>
      </c>
      <c r="K14" s="197">
        <v>0</v>
      </c>
      <c r="L14" s="144">
        <v>0</v>
      </c>
      <c r="M14" s="249">
        <v>28.9</v>
      </c>
      <c r="N14" s="45">
        <v>71.849999999999994</v>
      </c>
      <c r="O14" s="252">
        <f>E14+F14+G14+H14+I14-J14-K14-L14-M14-N14</f>
        <v>6694.8935375999999</v>
      </c>
      <c r="P14" s="297" t="s">
        <v>23</v>
      </c>
      <c r="Q14" s="297"/>
      <c r="R14" s="297"/>
      <c r="S14" s="63"/>
    </row>
    <row r="15" spans="1:28" ht="46.5" customHeight="1">
      <c r="A15" s="18" t="s">
        <v>20</v>
      </c>
      <c r="B15" s="29">
        <v>4</v>
      </c>
      <c r="C15" s="31" t="s">
        <v>28</v>
      </c>
      <c r="D15" s="31" t="s">
        <v>26</v>
      </c>
      <c r="E15" s="180">
        <v>4861.4579999999996</v>
      </c>
      <c r="F15" s="45">
        <v>0</v>
      </c>
      <c r="G15" s="45">
        <v>200</v>
      </c>
      <c r="H15" s="180">
        <f>(E15/15)*14/2</f>
        <v>2268.6803999999997</v>
      </c>
      <c r="I15" s="144">
        <v>0</v>
      </c>
      <c r="J15" s="45">
        <f>(E15-(LOOKUP(E15,ISR!$A$6:$B$17,ISR!$A$6:$A$17)))*(LOOKUP(E15,ISR!$A$6:$B$17,ISR!$D$6:$D$17))+(LOOKUP(E15,ISR!$A$6:$B$17,ISR!$C$6:$C$17))</f>
        <v>372.44626239999991</v>
      </c>
      <c r="K15" s="197">
        <v>0</v>
      </c>
      <c r="L15" s="144"/>
      <c r="M15" s="249">
        <v>28.9</v>
      </c>
      <c r="N15" s="45">
        <v>71.849999999999994</v>
      </c>
      <c r="O15" s="252">
        <f>E15+F15+G15+H15+I15-J15-K15-L15-M15-N15</f>
        <v>6856.9421376</v>
      </c>
      <c r="P15" s="119"/>
      <c r="Q15" s="119"/>
      <c r="R15" s="119"/>
      <c r="S15" s="63"/>
    </row>
    <row r="16" spans="1:28" ht="45" customHeight="1">
      <c r="B16" s="29">
        <v>5</v>
      </c>
      <c r="C16" s="31" t="s">
        <v>29</v>
      </c>
      <c r="D16" s="233" t="s">
        <v>30</v>
      </c>
      <c r="E16" s="234">
        <v>4861.4579999999996</v>
      </c>
      <c r="F16" s="235"/>
      <c r="G16" s="231">
        <v>200</v>
      </c>
      <c r="H16" s="235"/>
      <c r="I16" s="253"/>
      <c r="J16" s="231">
        <f>(E16-(LOOKUP(E16,ISR!$A$6:$B$17,ISR!$A$6:$A$17)))*(LOOKUP(E16,ISR!$A$6:$B$17,ISR!$D$6:$D$17))+(LOOKUP(E16,ISR!$A$6:$B$17,ISR!$C$6:$C$17))</f>
        <v>372.44626239999991</v>
      </c>
      <c r="K16" s="235"/>
      <c r="L16" s="235"/>
      <c r="M16" s="246">
        <v>28.9</v>
      </c>
      <c r="N16" s="235"/>
      <c r="O16" s="247">
        <f>E16+F16+G16+H16+I16-J16-K16-L16-M16-N16</f>
        <v>4660.1117376000002</v>
      </c>
      <c r="P16" s="297" t="s">
        <v>23</v>
      </c>
      <c r="Q16" s="297"/>
      <c r="R16" s="297"/>
      <c r="S16" s="63"/>
    </row>
    <row r="17" spans="1:20" ht="24.75" customHeight="1">
      <c r="C17" s="31"/>
      <c r="D17" s="31"/>
      <c r="E17" s="141">
        <f>SUM(E13:E16)</f>
        <v>19890.359999999997</v>
      </c>
      <c r="F17" s="141">
        <f>SUM(F13:F15)</f>
        <v>0</v>
      </c>
      <c r="G17" s="141">
        <f>SUM(G13:G16)</f>
        <v>800</v>
      </c>
      <c r="H17" s="236">
        <f>SUM(H13:H16)</f>
        <v>6674.5727999999999</v>
      </c>
      <c r="I17" s="141">
        <f>SUM(I13:I15)</f>
        <v>0</v>
      </c>
      <c r="J17" s="84">
        <f>SUM(J13:J16)</f>
        <v>1538.1496959999995</v>
      </c>
      <c r="K17" s="236">
        <f>SUM(K13:K16)</f>
        <v>0</v>
      </c>
      <c r="L17" s="141">
        <f>SUM(L13:L15)</f>
        <v>0</v>
      </c>
      <c r="M17" s="248">
        <f>SUM(M13:M16)</f>
        <v>115.6</v>
      </c>
      <c r="N17" s="141">
        <f>SUM(N13:N16)</f>
        <v>215.54999999999998</v>
      </c>
      <c r="O17" s="141">
        <f>SUM(O13:O16)</f>
        <v>25495.633104</v>
      </c>
      <c r="S17" s="63"/>
    </row>
    <row r="18" spans="1:20" ht="15.75">
      <c r="C18" s="91" t="s">
        <v>31</v>
      </c>
      <c r="D18" s="31"/>
      <c r="E18" s="44"/>
      <c r="F18" s="44"/>
      <c r="G18" s="44"/>
      <c r="H18" s="165"/>
      <c r="I18" s="141"/>
      <c r="J18" s="20"/>
      <c r="K18" s="236"/>
      <c r="L18" s="141"/>
      <c r="M18" s="251"/>
      <c r="N18" s="44"/>
      <c r="O18" s="44"/>
      <c r="S18" s="63"/>
    </row>
    <row r="19" spans="1:20" ht="30.75" customHeight="1">
      <c r="A19" s="18" t="s">
        <v>20</v>
      </c>
      <c r="B19" s="29">
        <v>6</v>
      </c>
      <c r="C19" s="31" t="s">
        <v>32</v>
      </c>
      <c r="D19" s="31" t="s">
        <v>33</v>
      </c>
      <c r="E19" s="234">
        <v>3932.712</v>
      </c>
      <c r="F19" s="235"/>
      <c r="G19" s="231">
        <v>200</v>
      </c>
      <c r="H19" s="285">
        <v>1498.18</v>
      </c>
      <c r="I19" s="253"/>
      <c r="J19" s="231">
        <f>(E19-(LOOKUP(E19,ISR!$A$6:$B$17,ISR!$A$6:$A$17)))*(LOOKUP(E19,ISR!$A$6:$B$17,ISR!$D$6:$D$17))+(LOOKUP(E19,ISR!$A$6:$B$17,ISR!$C$6:$C$17))</f>
        <v>271.39869759999999</v>
      </c>
      <c r="K19" s="235"/>
      <c r="L19" s="235"/>
      <c r="M19" s="246">
        <v>26.37</v>
      </c>
      <c r="N19" s="235">
        <v>65.55</v>
      </c>
      <c r="O19" s="247">
        <f>E19+F19+G19+H19+I19-J19-K19-L19-M19-N19</f>
        <v>5267.5733024000001</v>
      </c>
      <c r="P19" s="297" t="s">
        <v>23</v>
      </c>
      <c r="Q19" s="297"/>
      <c r="R19" s="297"/>
      <c r="S19" s="63"/>
    </row>
    <row r="20" spans="1:20" ht="37.5" customHeight="1">
      <c r="A20" s="18" t="s">
        <v>20</v>
      </c>
      <c r="B20" s="29">
        <v>7</v>
      </c>
      <c r="C20" s="31" t="s">
        <v>34</v>
      </c>
      <c r="D20" s="31" t="s">
        <v>35</v>
      </c>
      <c r="E20" s="234">
        <v>4861.4579999999996</v>
      </c>
      <c r="F20" s="231">
        <v>0</v>
      </c>
      <c r="G20" s="231">
        <v>200</v>
      </c>
      <c r="H20" s="234">
        <f>(E20/15)*12/2</f>
        <v>1944.5832</v>
      </c>
      <c r="I20" s="244">
        <v>0</v>
      </c>
      <c r="J20" s="231">
        <f>(E20-(LOOKUP(E20,ISR!$A$6:$B$17,ISR!$A$6:$A$17)))*(LOOKUP(E20,ISR!$A$6:$B$17,ISR!$D$6:$D$17))+(LOOKUP(E20,ISR!$A$6:$B$17,ISR!$C$6:$C$17))</f>
        <v>372.44626239999991</v>
      </c>
      <c r="K20" s="245">
        <v>0</v>
      </c>
      <c r="L20" s="244">
        <v>0</v>
      </c>
      <c r="M20" s="246">
        <v>28.9</v>
      </c>
      <c r="N20" s="231">
        <v>71.849999999999994</v>
      </c>
      <c r="O20" s="247">
        <f>E20+F20+G20+H20+I20-J20-K20-L20-M20-N20</f>
        <v>6532.8449375999999</v>
      </c>
      <c r="P20" s="297" t="s">
        <v>23</v>
      </c>
      <c r="Q20" s="297"/>
      <c r="R20" s="297"/>
      <c r="S20" s="63"/>
    </row>
    <row r="21" spans="1:20" ht="24.75" customHeight="1">
      <c r="C21" s="31"/>
      <c r="D21" s="31"/>
      <c r="E21" s="144">
        <f t="shared" ref="E21:O21" si="1">SUM(E19:E20)</f>
        <v>8794.17</v>
      </c>
      <c r="F21" s="144">
        <f t="shared" si="1"/>
        <v>0</v>
      </c>
      <c r="G21" s="144">
        <f t="shared" si="1"/>
        <v>400</v>
      </c>
      <c r="H21" s="197">
        <f t="shared" si="1"/>
        <v>3442.7632000000003</v>
      </c>
      <c r="I21" s="144">
        <f t="shared" si="1"/>
        <v>0</v>
      </c>
      <c r="J21" s="144">
        <f t="shared" si="1"/>
        <v>643.8449599999999</v>
      </c>
      <c r="K21" s="197">
        <f t="shared" si="1"/>
        <v>0</v>
      </c>
      <c r="L21" s="144">
        <f t="shared" si="1"/>
        <v>0</v>
      </c>
      <c r="M21" s="254">
        <f>SUM(M19:M20)</f>
        <v>55.269999999999996</v>
      </c>
      <c r="N21" s="144">
        <f>SUM(N19:N20)</f>
        <v>137.39999999999998</v>
      </c>
      <c r="O21" s="144">
        <f t="shared" si="1"/>
        <v>11800.418239999999</v>
      </c>
      <c r="S21" s="63"/>
    </row>
    <row r="22" spans="1:20" ht="15.75">
      <c r="C22" s="91" t="s">
        <v>36</v>
      </c>
      <c r="D22" s="31"/>
      <c r="E22" s="44"/>
      <c r="F22" s="44"/>
      <c r="G22" s="44"/>
      <c r="H22" s="165"/>
      <c r="I22" s="141"/>
      <c r="J22" s="44"/>
      <c r="K22" s="236"/>
      <c r="L22" s="141"/>
      <c r="M22" s="251"/>
      <c r="N22" s="44"/>
      <c r="O22" s="44"/>
      <c r="S22" s="63"/>
    </row>
    <row r="23" spans="1:20" ht="37.5" customHeight="1">
      <c r="A23" s="18" t="s">
        <v>20</v>
      </c>
      <c r="B23" s="29">
        <v>8</v>
      </c>
      <c r="C23" s="31" t="s">
        <v>37</v>
      </c>
      <c r="D23" s="31" t="s">
        <v>38</v>
      </c>
      <c r="E23" s="180">
        <v>5304.2849999999999</v>
      </c>
      <c r="F23" s="45">
        <v>0</v>
      </c>
      <c r="G23" s="45">
        <v>200</v>
      </c>
      <c r="H23" s="180">
        <f>(E23/15)*9/2</f>
        <v>1591.2855</v>
      </c>
      <c r="I23" s="144">
        <v>0</v>
      </c>
      <c r="J23" s="45">
        <f>(E23-(LOOKUP(E23,ISR!$A$6:$B$17,ISR!$A$6:$A$17)))*(LOOKUP(E23,ISR!$A$6:$B$17,ISR!$D$6:$D$17))+(LOOKUP(E23,ISR!$A$6:$B$17,ISR!$C$6:$C$17))</f>
        <v>420.62583999999993</v>
      </c>
      <c r="K23" s="197">
        <v>0</v>
      </c>
      <c r="L23" s="144">
        <v>0</v>
      </c>
      <c r="M23" s="249">
        <v>36.619999999999997</v>
      </c>
      <c r="N23" s="45">
        <v>93.75</v>
      </c>
      <c r="O23" s="252">
        <f>E23+F23+G23+H23+I23-J23-K23-L23-M23-N23</f>
        <v>6544.5746600000002</v>
      </c>
      <c r="P23" s="297" t="s">
        <v>23</v>
      </c>
      <c r="Q23" s="297"/>
      <c r="R23" s="297"/>
      <c r="S23" s="63"/>
    </row>
    <row r="24" spans="1:20" ht="39.75" customHeight="1">
      <c r="A24" s="18" t="s">
        <v>20</v>
      </c>
      <c r="B24" s="29">
        <v>9</v>
      </c>
      <c r="C24" s="31" t="s">
        <v>39</v>
      </c>
      <c r="D24" s="31" t="s">
        <v>40</v>
      </c>
      <c r="E24" s="165">
        <f>3457/15*4</f>
        <v>921.86666666666667</v>
      </c>
      <c r="F24" s="44">
        <v>0</v>
      </c>
      <c r="G24" s="44">
        <v>200</v>
      </c>
      <c r="H24" s="180">
        <f>(E24/15)*12/2</f>
        <v>368.74666666666667</v>
      </c>
      <c r="I24" s="141"/>
      <c r="J24" s="45">
        <v>219.64</v>
      </c>
      <c r="K24" s="236">
        <v>0</v>
      </c>
      <c r="L24" s="141">
        <v>0</v>
      </c>
      <c r="M24" s="251">
        <v>0</v>
      </c>
      <c r="N24" s="44">
        <v>61.65</v>
      </c>
      <c r="O24" s="252">
        <f>E24+F24+G24+H24+I24-J24-K24-L24-M24-N24</f>
        <v>1209.3233333333333</v>
      </c>
      <c r="P24" s="297" t="s">
        <v>23</v>
      </c>
      <c r="Q24" s="297"/>
      <c r="R24" s="297"/>
      <c r="S24" s="63"/>
    </row>
    <row r="25" spans="1:20" ht="47.25" customHeight="1">
      <c r="A25" s="18" t="s">
        <v>20</v>
      </c>
      <c r="B25" s="29">
        <v>10</v>
      </c>
      <c r="C25" s="31" t="s">
        <v>41</v>
      </c>
      <c r="D25" s="31" t="s">
        <v>42</v>
      </c>
      <c r="E25" s="165">
        <v>3371.9490000000001</v>
      </c>
      <c r="F25" s="44">
        <v>0</v>
      </c>
      <c r="G25" s="44">
        <v>200</v>
      </c>
      <c r="H25" s="180">
        <f>(E25/15)*9/2</f>
        <v>1011.5847000000001</v>
      </c>
      <c r="I25" s="141"/>
      <c r="J25" s="44">
        <f>(E25-(LOOKUP(E25,ISR!$A$6:$B$17,ISR!$A$6:$A$17)))*(LOOKUP(E25,ISR!$A$6:$B$17,ISR!$D$6:$D$17))+(LOOKUP(E25,ISR!$A$6:$B$17,ISR!$C$6:$C$17))</f>
        <v>210.38768319999997</v>
      </c>
      <c r="K25" s="236">
        <v>0</v>
      </c>
      <c r="L25" s="141">
        <v>0</v>
      </c>
      <c r="M25" s="251">
        <v>0</v>
      </c>
      <c r="N25" s="44">
        <v>57.75</v>
      </c>
      <c r="O25" s="252">
        <f>E25+F25+G25+H25+I25-J25-K25-L25-M25-N25</f>
        <v>4315.3960168000003</v>
      </c>
      <c r="P25" s="297" t="s">
        <v>23</v>
      </c>
      <c r="Q25" s="297"/>
      <c r="R25" s="297"/>
    </row>
    <row r="26" spans="1:20" ht="40.5" customHeight="1">
      <c r="A26" s="18" t="s">
        <v>43</v>
      </c>
      <c r="B26" s="29">
        <v>11</v>
      </c>
      <c r="C26" s="31" t="s">
        <v>44</v>
      </c>
      <c r="D26" s="31" t="s">
        <v>45</v>
      </c>
      <c r="E26" s="165">
        <v>4153.2749999999996</v>
      </c>
      <c r="F26" s="44"/>
      <c r="G26" s="44">
        <v>200</v>
      </c>
      <c r="H26" s="180">
        <f>(E26/15)*5/2</f>
        <v>692.21249999999998</v>
      </c>
      <c r="I26" s="141">
        <v>0</v>
      </c>
      <c r="J26" s="44">
        <f>(E26-(LOOKUP(E26,ISR!$A$6:$B$17,ISR!$A$6:$A$17)))*(LOOKUP(E26,ISR!$A$6:$B$17,ISR!$D$6:$D$17))+(LOOKUP(E26,ISR!$A$6:$B$17,ISR!$C$6:$C$17))</f>
        <v>295.39595199999991</v>
      </c>
      <c r="K26" s="236">
        <v>0</v>
      </c>
      <c r="L26" s="141">
        <v>0</v>
      </c>
      <c r="M26" s="249">
        <v>28.9</v>
      </c>
      <c r="N26" s="44"/>
      <c r="O26" s="252">
        <f>E26+F26+G26+H26+I26-J26-K26-L26-M26-N26</f>
        <v>4721.1915479999998</v>
      </c>
      <c r="P26" s="119"/>
      <c r="Q26" s="119"/>
      <c r="R26" s="119"/>
    </row>
    <row r="27" spans="1:20" ht="44.25" customHeight="1">
      <c r="A27" s="18" t="s">
        <v>20</v>
      </c>
      <c r="B27" s="29">
        <v>12</v>
      </c>
      <c r="C27" s="31" t="s">
        <v>46</v>
      </c>
      <c r="D27" s="31" t="s">
        <v>40</v>
      </c>
      <c r="E27" s="234">
        <v>3435.453</v>
      </c>
      <c r="F27" s="231">
        <v>0</v>
      </c>
      <c r="G27" s="231">
        <v>200</v>
      </c>
      <c r="H27" s="234">
        <f>(E27/15)*12/2</f>
        <v>1374.1812</v>
      </c>
      <c r="I27" s="244"/>
      <c r="J27" s="231">
        <f>(E27-(LOOKUP(E27,ISR!$A$6:$B$17,ISR!$A$6:$A$17)))*(LOOKUP(E27,ISR!$A$6:$B$17,ISR!$D$6:$D$17))+(LOOKUP(E27,ISR!$A$6:$B$17,ISR!$C$6:$C$17))</f>
        <v>217.29691839999998</v>
      </c>
      <c r="K27" s="245"/>
      <c r="L27" s="244">
        <v>0</v>
      </c>
      <c r="M27" s="246">
        <v>23.72</v>
      </c>
      <c r="N27" s="231">
        <v>58.8</v>
      </c>
      <c r="O27" s="247">
        <f>E27+F27+G27+H27+I27-J27-K27-L27-M27-N27</f>
        <v>4709.8172815999997</v>
      </c>
      <c r="P27" s="297" t="s">
        <v>23</v>
      </c>
      <c r="Q27" s="297"/>
      <c r="R27" s="297"/>
      <c r="S27" s="63">
        <v>1000</v>
      </c>
      <c r="T27" s="35">
        <f>+S27-500</f>
        <v>500</v>
      </c>
    </row>
    <row r="28" spans="1:20" ht="24.75" customHeight="1">
      <c r="C28" s="31"/>
      <c r="D28" s="31"/>
      <c r="E28" s="141">
        <f>SUM(E23:E27)</f>
        <v>17186.828666666668</v>
      </c>
      <c r="F28" s="141">
        <f t="shared" ref="F28:L28" si="2">SUM(F23:F27)</f>
        <v>0</v>
      </c>
      <c r="G28" s="141">
        <f>SUM(G23:G27)</f>
        <v>1000</v>
      </c>
      <c r="H28" s="236">
        <f>SUM(H23:H27)</f>
        <v>5038.0105666666668</v>
      </c>
      <c r="I28" s="141">
        <f t="shared" si="2"/>
        <v>0</v>
      </c>
      <c r="J28" s="141">
        <f>SUM(J23:J27)</f>
        <v>1363.3463935999998</v>
      </c>
      <c r="K28" s="236">
        <f t="shared" si="2"/>
        <v>0</v>
      </c>
      <c r="L28" s="141">
        <f t="shared" si="2"/>
        <v>0</v>
      </c>
      <c r="M28" s="141">
        <f>SUM(M23:M27)</f>
        <v>89.24</v>
      </c>
      <c r="N28" s="141">
        <f>SUM(N23:N27)</f>
        <v>271.95</v>
      </c>
      <c r="O28" s="141">
        <f>SUM(O23:O27)</f>
        <v>21500.302839733333</v>
      </c>
      <c r="S28" s="63"/>
    </row>
    <row r="29" spans="1:20" ht="15.75">
      <c r="C29" s="91" t="s">
        <v>47</v>
      </c>
      <c r="D29" s="31"/>
      <c r="E29" s="45"/>
      <c r="F29" s="45"/>
      <c r="G29" s="45"/>
      <c r="H29" s="180"/>
      <c r="I29" s="144"/>
      <c r="J29" s="45"/>
      <c r="K29" s="197"/>
      <c r="L29" s="144"/>
      <c r="M29" s="249"/>
      <c r="N29" s="45"/>
      <c r="O29" s="45"/>
      <c r="S29" s="63"/>
    </row>
    <row r="30" spans="1:20" ht="32.25" customHeight="1">
      <c r="A30" s="18" t="s">
        <v>20</v>
      </c>
      <c r="B30" s="29">
        <v>13</v>
      </c>
      <c r="C30" s="31" t="s">
        <v>48</v>
      </c>
      <c r="D30" s="31" t="s">
        <v>49</v>
      </c>
      <c r="E30" s="234">
        <v>4627.8540000000003</v>
      </c>
      <c r="F30" s="231">
        <v>0</v>
      </c>
      <c r="G30" s="231">
        <v>200</v>
      </c>
      <c r="H30" s="234">
        <f>(E30/15)*10/2</f>
        <v>1542.6180000000002</v>
      </c>
      <c r="I30" s="244">
        <v>0</v>
      </c>
      <c r="J30" s="231">
        <f>(E30-(LOOKUP(E30,ISR!$A$6:$B$17,ISR!$A$6:$A$17)))*(LOOKUP(E30,ISR!$A$6:$B$17,ISR!$D$6:$D$17))+(LOOKUP(E30,ISR!$A$6:$B$17,ISR!$C$6:$C$17))</f>
        <v>347.03014719999999</v>
      </c>
      <c r="K30" s="245">
        <v>0</v>
      </c>
      <c r="L30" s="244">
        <v>0</v>
      </c>
      <c r="M30" s="246">
        <v>28.9</v>
      </c>
      <c r="N30" s="231">
        <v>71.849999999999994</v>
      </c>
      <c r="O30" s="234">
        <f>E30+F30+G30+H30+I30-J30-K30-L30-M30-N30</f>
        <v>5922.6918528000006</v>
      </c>
      <c r="P30" s="297" t="s">
        <v>23</v>
      </c>
      <c r="Q30" s="297"/>
      <c r="R30" s="297"/>
      <c r="S30" s="63"/>
    </row>
    <row r="31" spans="1:20" ht="25.5" customHeight="1">
      <c r="C31" s="31"/>
      <c r="D31" s="31"/>
      <c r="E31" s="236">
        <f>SUM(E30)</f>
        <v>4627.8540000000003</v>
      </c>
      <c r="F31" s="141">
        <f>SUM(F30)</f>
        <v>0</v>
      </c>
      <c r="G31" s="141">
        <f>SUM(G30)</f>
        <v>200</v>
      </c>
      <c r="H31" s="197">
        <f t="shared" ref="H31:O31" si="3">SUM(H30)</f>
        <v>1542.6180000000002</v>
      </c>
      <c r="I31" s="141">
        <f t="shared" si="3"/>
        <v>0</v>
      </c>
      <c r="J31" s="141">
        <f t="shared" si="3"/>
        <v>347.03014719999999</v>
      </c>
      <c r="K31" s="236">
        <f t="shared" si="3"/>
        <v>0</v>
      </c>
      <c r="L31" s="141">
        <f t="shared" si="3"/>
        <v>0</v>
      </c>
      <c r="M31" s="248">
        <f>SUM(M30)</f>
        <v>28.9</v>
      </c>
      <c r="N31" s="141">
        <f>SUM(N30)</f>
        <v>71.849999999999994</v>
      </c>
      <c r="O31" s="236">
        <f t="shared" si="3"/>
        <v>5922.6918528000006</v>
      </c>
      <c r="P31" s="18"/>
      <c r="Q31" s="18"/>
      <c r="R31" s="18"/>
      <c r="S31" s="63"/>
    </row>
    <row r="32" spans="1:20" ht="21" customHeight="1">
      <c r="C32" s="91" t="s">
        <v>50</v>
      </c>
      <c r="D32" s="31"/>
      <c r="E32" s="165"/>
      <c r="F32" s="44"/>
      <c r="G32" s="44"/>
      <c r="H32" s="180"/>
      <c r="I32" s="141">
        <v>0</v>
      </c>
      <c r="J32" s="44"/>
      <c r="K32" s="236"/>
      <c r="L32" s="141"/>
      <c r="M32" s="251"/>
      <c r="N32" s="44"/>
      <c r="O32" s="165"/>
      <c r="Q32" s="18"/>
      <c r="R32" s="18"/>
      <c r="S32" s="63"/>
    </row>
    <row r="33" spans="1:20" ht="38.25" customHeight="1">
      <c r="A33" s="18" t="s">
        <v>20</v>
      </c>
      <c r="B33" s="29">
        <v>14</v>
      </c>
      <c r="C33" s="31" t="s">
        <v>51</v>
      </c>
      <c r="D33" s="31" t="s">
        <v>52</v>
      </c>
      <c r="E33" s="165">
        <v>4254.768</v>
      </c>
      <c r="F33" s="44">
        <v>0</v>
      </c>
      <c r="G33" s="44">
        <v>200</v>
      </c>
      <c r="H33" s="180">
        <f>(E33/15)*10/2</f>
        <v>1418.2560000000001</v>
      </c>
      <c r="I33" s="141">
        <f>2000+1418</f>
        <v>3418</v>
      </c>
      <c r="J33" s="44">
        <f>(E33-(LOOKUP(E33,ISR!$A$6:$B$17,ISR!$A$6:$A$17)))*(LOOKUP(E33,ISR!$A$6:$B$17,ISR!$D$6:$D$17))+(LOOKUP(E33,ISR!$A$6:$B$17,ISR!$C$6:$C$17))</f>
        <v>306.4383904</v>
      </c>
      <c r="K33" s="236">
        <v>0</v>
      </c>
      <c r="L33" s="141">
        <v>0</v>
      </c>
      <c r="M33" s="251">
        <v>29.38</v>
      </c>
      <c r="N33" s="44">
        <v>72.900000000000006</v>
      </c>
      <c r="O33" s="252">
        <f>E33+F33+G33+H33+I33-J33-K33-L33-M33-N33</f>
        <v>8882.3056096000018</v>
      </c>
      <c r="P33" s="294" t="s">
        <v>23</v>
      </c>
      <c r="Q33" s="294"/>
      <c r="R33" s="294"/>
      <c r="S33" s="63"/>
    </row>
    <row r="34" spans="1:20" ht="38.25" customHeight="1">
      <c r="C34" s="31"/>
      <c r="D34" s="31"/>
      <c r="E34" s="165"/>
      <c r="F34" s="44"/>
      <c r="G34" s="44"/>
      <c r="H34" s="180"/>
      <c r="I34" s="141"/>
      <c r="J34" s="44"/>
      <c r="K34" s="236"/>
      <c r="L34" s="141"/>
      <c r="M34" s="251"/>
      <c r="N34" s="44"/>
      <c r="O34" s="91" t="s">
        <v>525</v>
      </c>
      <c r="P34" s="121"/>
      <c r="Q34" s="121"/>
      <c r="R34" s="121"/>
      <c r="S34" s="63"/>
    </row>
    <row r="35" spans="1:20" ht="44.25" customHeight="1">
      <c r="A35" s="18" t="s">
        <v>20</v>
      </c>
      <c r="B35" s="29">
        <v>15</v>
      </c>
      <c r="C35" s="31" t="s">
        <v>53</v>
      </c>
      <c r="D35" s="31" t="s">
        <v>54</v>
      </c>
      <c r="E35" s="165">
        <v>3435.453</v>
      </c>
      <c r="F35" s="44">
        <v>0</v>
      </c>
      <c r="G35" s="44">
        <v>200</v>
      </c>
      <c r="H35" s="180">
        <f>(E35/15)*8/2</f>
        <v>916.12080000000003</v>
      </c>
      <c r="I35" s="141"/>
      <c r="J35" s="44">
        <f>(E35-(LOOKUP(E35,ISR!$A$6:$B$17,ISR!$A$6:$A$17)))*(LOOKUP(E35,ISR!$A$6:$B$17,ISR!$D$6:$D$17))+(LOOKUP(E35,ISR!$A$6:$B$17,ISR!$C$6:$C$17))</f>
        <v>217.29691839999998</v>
      </c>
      <c r="K35" s="236"/>
      <c r="L35" s="141">
        <v>0</v>
      </c>
      <c r="M35" s="251">
        <v>23.72</v>
      </c>
      <c r="N35" s="44">
        <v>58.8</v>
      </c>
      <c r="O35" s="252">
        <f>E35+F35+G35+H35+I35-J35-K35-L35-M35-N35</f>
        <v>4251.7568815999994</v>
      </c>
      <c r="P35" s="298" t="s">
        <v>23</v>
      </c>
      <c r="Q35" s="298"/>
      <c r="R35" s="298"/>
      <c r="S35" s="63" t="s">
        <v>55</v>
      </c>
      <c r="T35" s="39"/>
    </row>
    <row r="36" spans="1:20" ht="44.25" customHeight="1">
      <c r="A36" s="18" t="s">
        <v>20</v>
      </c>
      <c r="B36" s="29">
        <v>16</v>
      </c>
      <c r="C36" s="31" t="s">
        <v>56</v>
      </c>
      <c r="D36" s="31" t="s">
        <v>52</v>
      </c>
      <c r="E36" s="165">
        <v>0</v>
      </c>
      <c r="F36" s="165"/>
      <c r="G36" s="44">
        <v>0</v>
      </c>
      <c r="H36" s="180">
        <f>(E36/15)*5/2</f>
        <v>0</v>
      </c>
      <c r="I36" s="144"/>
      <c r="J36" s="44">
        <v>0</v>
      </c>
      <c r="K36" s="236"/>
      <c r="L36" s="141"/>
      <c r="M36" s="251">
        <v>0</v>
      </c>
      <c r="N36" s="44">
        <v>0</v>
      </c>
      <c r="O36" s="252">
        <f>E36+F36+G36+H36+I36-J36-K36-L36-M36-N36</f>
        <v>0</v>
      </c>
      <c r="P36" s="297"/>
      <c r="Q36" s="297"/>
      <c r="R36" s="297"/>
      <c r="S36" s="63"/>
      <c r="T36" s="39"/>
    </row>
    <row r="37" spans="1:20" ht="44.25" customHeight="1">
      <c r="A37" s="18" t="s">
        <v>20</v>
      </c>
      <c r="B37" s="29">
        <v>17</v>
      </c>
      <c r="C37" s="31" t="s">
        <v>57</v>
      </c>
      <c r="D37" s="31" t="s">
        <v>58</v>
      </c>
      <c r="E37" s="234">
        <v>3937.248</v>
      </c>
      <c r="F37" s="231">
        <v>0</v>
      </c>
      <c r="G37" s="231">
        <v>200</v>
      </c>
      <c r="H37" s="234">
        <f>(E37/15)*8/2</f>
        <v>1049.9328</v>
      </c>
      <c r="I37" s="244">
        <f>2000+524</f>
        <v>2524</v>
      </c>
      <c r="J37" s="231">
        <f>(E37-(LOOKUP(E37,ISR!$A$6:$B$17,ISR!$A$6:$A$17)))*(LOOKUP(E37,ISR!$A$6:$B$17,ISR!$D$6:$D$17))+(LOOKUP(E37,ISR!$A$6:$B$17,ISR!$C$6:$C$17))</f>
        <v>271.89221439999994</v>
      </c>
      <c r="K37" s="245">
        <v>0</v>
      </c>
      <c r="L37" s="244">
        <v>0</v>
      </c>
      <c r="M37" s="246">
        <v>21.08</v>
      </c>
      <c r="N37" s="231">
        <v>52.35</v>
      </c>
      <c r="O37" s="247">
        <f>E37+F37+G37+H37+I37-J37-K37-L37-M37-N37</f>
        <v>7365.8585856</v>
      </c>
      <c r="P37" s="297" t="s">
        <v>23</v>
      </c>
      <c r="Q37" s="297"/>
      <c r="R37" s="297"/>
      <c r="S37" s="63"/>
      <c r="T37" s="39"/>
    </row>
    <row r="38" spans="1:20" ht="36.75" customHeight="1">
      <c r="C38" s="31"/>
      <c r="D38" s="31"/>
      <c r="E38" s="141">
        <f>SUM(E33:E37)</f>
        <v>11627.468999999999</v>
      </c>
      <c r="F38" s="141">
        <f>SUM(F25:F37)</f>
        <v>0</v>
      </c>
      <c r="G38" s="141">
        <f t="shared" ref="G38:O38" si="4">SUM(G33:G37)</f>
        <v>600</v>
      </c>
      <c r="H38" s="197">
        <f t="shared" si="4"/>
        <v>3384.3096</v>
      </c>
      <c r="I38" s="141">
        <f t="shared" si="4"/>
        <v>5942</v>
      </c>
      <c r="J38" s="141">
        <f t="shared" si="4"/>
        <v>795.62752319999993</v>
      </c>
      <c r="K38" s="236">
        <f t="shared" si="4"/>
        <v>0</v>
      </c>
      <c r="L38" s="141">
        <f t="shared" si="4"/>
        <v>0</v>
      </c>
      <c r="M38" s="248">
        <f t="shared" si="4"/>
        <v>74.179999999999993</v>
      </c>
      <c r="N38" s="141">
        <f t="shared" si="4"/>
        <v>184.04999999999998</v>
      </c>
      <c r="O38" s="141">
        <f t="shared" si="4"/>
        <v>20499.921076800001</v>
      </c>
      <c r="P38" s="18" t="s">
        <v>23</v>
      </c>
      <c r="Q38" s="18"/>
      <c r="R38" s="18"/>
      <c r="S38" s="63"/>
      <c r="T38" s="39"/>
    </row>
    <row r="39" spans="1:20" ht="33.75" customHeight="1">
      <c r="C39" s="87" t="s">
        <v>1</v>
      </c>
      <c r="D39" s="88"/>
      <c r="E39" s="165"/>
      <c r="F39" s="44"/>
      <c r="G39" s="44"/>
      <c r="H39" s="180"/>
      <c r="I39" s="141"/>
      <c r="J39" s="44"/>
      <c r="K39" s="236"/>
      <c r="L39" s="141"/>
      <c r="M39" s="251"/>
      <c r="N39" s="44"/>
      <c r="O39" s="165"/>
      <c r="P39" s="18"/>
      <c r="Q39" s="18"/>
      <c r="R39" s="18"/>
      <c r="S39" s="63"/>
      <c r="T39" s="39"/>
    </row>
    <row r="40" spans="1:20" ht="28.5" customHeight="1">
      <c r="C40" s="301" t="s">
        <v>524</v>
      </c>
      <c r="D40" s="301"/>
      <c r="E40" s="301"/>
      <c r="F40" s="44"/>
      <c r="G40" s="44"/>
      <c r="H40" s="180"/>
      <c r="I40" s="141"/>
      <c r="J40" s="44"/>
      <c r="K40" s="236"/>
      <c r="L40" s="141"/>
      <c r="M40" s="251"/>
      <c r="N40" s="44"/>
      <c r="O40" s="91" t="s">
        <v>525</v>
      </c>
      <c r="P40" s="18"/>
      <c r="Q40" s="18"/>
      <c r="R40" s="18"/>
      <c r="S40" s="63"/>
      <c r="T40" s="39"/>
    </row>
    <row r="41" spans="1:20" ht="33" customHeight="1">
      <c r="C41" s="229" t="s">
        <v>7</v>
      </c>
      <c r="D41" s="229" t="s">
        <v>8</v>
      </c>
      <c r="E41" s="229" t="s">
        <v>9</v>
      </c>
      <c r="F41" s="229" t="s">
        <v>10</v>
      </c>
      <c r="G41" s="229" t="s">
        <v>11</v>
      </c>
      <c r="H41" s="230" t="s">
        <v>12</v>
      </c>
      <c r="I41" s="229" t="s">
        <v>13</v>
      </c>
      <c r="J41" s="229" t="s">
        <v>14</v>
      </c>
      <c r="K41" s="229" t="s">
        <v>341</v>
      </c>
      <c r="L41" s="229" t="s">
        <v>15</v>
      </c>
      <c r="M41" s="229" t="s">
        <v>16</v>
      </c>
      <c r="N41" s="229" t="s">
        <v>17</v>
      </c>
      <c r="O41" s="229" t="s">
        <v>18</v>
      </c>
      <c r="P41" s="18"/>
      <c r="Q41" s="18"/>
      <c r="R41" s="18"/>
      <c r="S41" s="63"/>
      <c r="T41" s="39"/>
    </row>
    <row r="42" spans="1:20" ht="15.75">
      <c r="C42" s="91" t="s">
        <v>59</v>
      </c>
      <c r="D42" s="31"/>
      <c r="E42" s="180"/>
      <c r="F42" s="45"/>
      <c r="G42" s="45"/>
      <c r="H42" s="180"/>
      <c r="I42" s="144"/>
      <c r="J42" s="45"/>
      <c r="K42" s="197"/>
      <c r="L42" s="144"/>
      <c r="M42" s="249"/>
      <c r="N42" s="45"/>
      <c r="O42" s="45"/>
      <c r="S42" s="63"/>
    </row>
    <row r="43" spans="1:20" ht="45" customHeight="1">
      <c r="A43" s="18">
        <v>71</v>
      </c>
      <c r="B43" s="29">
        <v>18</v>
      </c>
      <c r="C43" s="31" t="s">
        <v>60</v>
      </c>
      <c r="D43" s="31" t="s">
        <v>61</v>
      </c>
      <c r="E43" s="165">
        <v>2838.9690000000001</v>
      </c>
      <c r="F43" s="44"/>
      <c r="G43" s="44">
        <v>200</v>
      </c>
      <c r="H43" s="180">
        <f>(E43/15)*12/2</f>
        <v>1135.5876000000001</v>
      </c>
      <c r="I43" s="141">
        <v>0</v>
      </c>
      <c r="J43" s="45">
        <f>(E43-(LOOKUP(E43,ISR!$A$6:$B$17,ISR!$A$6:$A$17)))*(LOOKUP(E43,ISR!$A$6:$B$17,ISR!$D$6:$D$17))+(LOOKUP(E43,ISR!$A$6:$B$17,ISR!$C$6:$C$17))</f>
        <v>165.18497600000001</v>
      </c>
      <c r="K43" s="236">
        <v>0</v>
      </c>
      <c r="L43" s="141">
        <v>0</v>
      </c>
      <c r="M43" s="251">
        <v>19.600000000000001</v>
      </c>
      <c r="N43" s="44">
        <v>48.6</v>
      </c>
      <c r="O43" s="252">
        <f t="shared" ref="O43:O51" si="5">E43+F43+G43+H43+I43-J43-K43-L43-M43-N43</f>
        <v>3941.1716240000001</v>
      </c>
      <c r="P43" s="297" t="s">
        <v>23</v>
      </c>
      <c r="Q43" s="297"/>
      <c r="R43" s="297"/>
      <c r="S43" s="63"/>
    </row>
    <row r="44" spans="1:20" ht="50.25" customHeight="1">
      <c r="A44" s="18" t="s">
        <v>20</v>
      </c>
      <c r="B44" s="29">
        <v>19</v>
      </c>
      <c r="C44" s="31" t="s">
        <v>62</v>
      </c>
      <c r="D44" s="31" t="s">
        <v>61</v>
      </c>
      <c r="E44" s="165">
        <v>2838.9690000000001</v>
      </c>
      <c r="F44" s="44"/>
      <c r="G44" s="44">
        <v>200</v>
      </c>
      <c r="H44" s="180">
        <f>(E44/15)*11/2</f>
        <v>1040.9553000000001</v>
      </c>
      <c r="I44" s="141">
        <v>0</v>
      </c>
      <c r="J44" s="45">
        <f>(E44-(LOOKUP(E44,ISR!$A$6:$B$17,ISR!$A$6:$A$17)))*(LOOKUP(E44,ISR!$A$6:$B$17,ISR!$D$6:$D$17))+(LOOKUP(E44,ISR!$A$6:$B$17,ISR!$C$6:$C$17))</f>
        <v>165.18497600000001</v>
      </c>
      <c r="K44" s="236">
        <v>0</v>
      </c>
      <c r="L44" s="141">
        <v>0</v>
      </c>
      <c r="M44" s="251">
        <v>19.600000000000001</v>
      </c>
      <c r="N44" s="44">
        <v>48.6</v>
      </c>
      <c r="O44" s="252">
        <f t="shared" si="5"/>
        <v>3846.5393240000003</v>
      </c>
      <c r="P44" s="297" t="s">
        <v>23</v>
      </c>
      <c r="Q44" s="297"/>
      <c r="R44" s="297"/>
      <c r="S44" s="63"/>
    </row>
    <row r="45" spans="1:20" ht="42.75" customHeight="1">
      <c r="A45" s="18" t="s">
        <v>20</v>
      </c>
      <c r="B45" s="29">
        <v>20</v>
      </c>
      <c r="C45" s="31" t="s">
        <v>63</v>
      </c>
      <c r="D45" s="31" t="s">
        <v>61</v>
      </c>
      <c r="E45" s="165">
        <v>2838.9690000000001</v>
      </c>
      <c r="F45" s="44"/>
      <c r="G45" s="44">
        <v>200</v>
      </c>
      <c r="H45" s="180">
        <f>(E45/15)*11/2</f>
        <v>1040.9553000000001</v>
      </c>
      <c r="I45" s="141"/>
      <c r="J45" s="45">
        <f>(E45-(LOOKUP(E45,ISR!$A$6:$B$17,ISR!$A$6:$A$17)))*(LOOKUP(E45,ISR!$A$6:$B$17,ISR!$D$6:$D$17))+(LOOKUP(E45,ISR!$A$6:$B$17,ISR!$C$6:$C$17))</f>
        <v>165.18497600000001</v>
      </c>
      <c r="K45" s="236"/>
      <c r="L45" s="141">
        <v>0</v>
      </c>
      <c r="M45" s="251">
        <v>19.600000000000001</v>
      </c>
      <c r="N45" s="44">
        <v>48.6</v>
      </c>
      <c r="O45" s="252">
        <f t="shared" si="5"/>
        <v>3846.5393240000003</v>
      </c>
      <c r="P45" s="297" t="s">
        <v>23</v>
      </c>
      <c r="Q45" s="297"/>
      <c r="R45" s="297"/>
      <c r="S45" s="63">
        <v>0</v>
      </c>
    </row>
    <row r="46" spans="1:20" ht="51" customHeight="1">
      <c r="A46" s="18" t="s">
        <v>20</v>
      </c>
      <c r="B46" s="29">
        <v>21</v>
      </c>
      <c r="C46" s="31" t="s">
        <v>64</v>
      </c>
      <c r="D46" s="31" t="s">
        <v>61</v>
      </c>
      <c r="E46" s="165">
        <v>2838.9690000000001</v>
      </c>
      <c r="F46" s="44"/>
      <c r="G46" s="44">
        <v>200</v>
      </c>
      <c r="H46" s="180">
        <f>(E46/15)*7/2</f>
        <v>662.42610000000002</v>
      </c>
      <c r="I46" s="141">
        <v>0</v>
      </c>
      <c r="J46" s="45">
        <f>(E46-(LOOKUP(E46,ISR!$A$6:$B$17,ISR!$A$6:$A$17)))*(LOOKUP(E46,ISR!$A$6:$B$17,ISR!$D$6:$D$17))+(LOOKUP(E46,ISR!$A$6:$B$17,ISR!$C$6:$C$17))</f>
        <v>165.18497600000001</v>
      </c>
      <c r="K46" s="236">
        <v>0</v>
      </c>
      <c r="L46" s="141">
        <v>0</v>
      </c>
      <c r="M46" s="251">
        <v>19.600000000000001</v>
      </c>
      <c r="N46" s="44">
        <v>48.6</v>
      </c>
      <c r="O46" s="252">
        <f t="shared" si="5"/>
        <v>3468.0101240000004</v>
      </c>
      <c r="P46" s="297" t="s">
        <v>23</v>
      </c>
      <c r="Q46" s="297"/>
      <c r="R46" s="297"/>
      <c r="S46" s="63"/>
    </row>
    <row r="47" spans="1:20" ht="47.25" customHeight="1">
      <c r="A47" s="18">
        <v>77</v>
      </c>
      <c r="B47" s="29">
        <v>22</v>
      </c>
      <c r="C47" s="31" t="s">
        <v>65</v>
      </c>
      <c r="D47" s="31" t="s">
        <v>61</v>
      </c>
      <c r="E47" s="165">
        <v>2838.9690000000001</v>
      </c>
      <c r="F47" s="44"/>
      <c r="G47" s="44">
        <v>200</v>
      </c>
      <c r="H47" s="180">
        <f>(E47/15)*10/2</f>
        <v>946.32299999999998</v>
      </c>
      <c r="I47" s="141">
        <v>0</v>
      </c>
      <c r="J47" s="45">
        <f>(E47-(LOOKUP(E47,ISR!$A$6:$B$17,ISR!$A$6:$A$17)))*(LOOKUP(E47,ISR!$A$6:$B$17,ISR!$D$6:$D$17))+(LOOKUP(E47,ISR!$A$6:$B$17,ISR!$C$6:$C$17))</f>
        <v>165.18497600000001</v>
      </c>
      <c r="K47" s="236">
        <v>0</v>
      </c>
      <c r="L47" s="141">
        <v>0</v>
      </c>
      <c r="M47" s="251">
        <v>19.600000000000001</v>
      </c>
      <c r="N47" s="44">
        <v>48.6</v>
      </c>
      <c r="O47" s="252">
        <f t="shared" si="5"/>
        <v>3751.9070240000001</v>
      </c>
      <c r="P47" s="297" t="s">
        <v>23</v>
      </c>
      <c r="Q47" s="297"/>
      <c r="R47" s="297"/>
      <c r="S47" s="63"/>
    </row>
    <row r="48" spans="1:20" ht="42.75" customHeight="1">
      <c r="A48" s="18" t="s">
        <v>20</v>
      </c>
      <c r="B48" s="29">
        <v>23</v>
      </c>
      <c r="C48" s="237" t="s">
        <v>66</v>
      </c>
      <c r="D48" s="31" t="s">
        <v>61</v>
      </c>
      <c r="E48" s="165">
        <v>2838.9690000000001</v>
      </c>
      <c r="F48" s="44"/>
      <c r="G48" s="44">
        <v>200</v>
      </c>
      <c r="H48" s="180">
        <f>(E48/15)*6/2</f>
        <v>567.79380000000003</v>
      </c>
      <c r="I48" s="141"/>
      <c r="J48" s="45">
        <f>(E48-(LOOKUP(E48,ISR!$A$6:$B$17,ISR!$A$6:$A$17)))*(LOOKUP(E48,ISR!$A$6:$B$17,ISR!$D$6:$D$17))+(LOOKUP(E48,ISR!$A$6:$B$17,ISR!$C$6:$C$17))</f>
        <v>165.18497600000001</v>
      </c>
      <c r="K48" s="236">
        <v>0</v>
      </c>
      <c r="L48" s="141">
        <v>0</v>
      </c>
      <c r="M48" s="251">
        <v>19.600000000000001</v>
      </c>
      <c r="N48" s="44">
        <v>48.6</v>
      </c>
      <c r="O48" s="252">
        <f t="shared" si="5"/>
        <v>3373.3778240000001</v>
      </c>
      <c r="P48" s="297" t="s">
        <v>23</v>
      </c>
      <c r="Q48" s="297"/>
      <c r="R48" s="297"/>
      <c r="S48" s="63"/>
    </row>
    <row r="49" spans="1:19" ht="45.75" customHeight="1">
      <c r="A49" s="18" t="s">
        <v>20</v>
      </c>
      <c r="B49" s="29">
        <v>24</v>
      </c>
      <c r="C49" s="232" t="s">
        <v>67</v>
      </c>
      <c r="D49" s="31" t="s">
        <v>61</v>
      </c>
      <c r="E49" s="180">
        <v>3079.377</v>
      </c>
      <c r="F49" s="44"/>
      <c r="G49" s="45">
        <v>200</v>
      </c>
      <c r="H49" s="180">
        <v>0</v>
      </c>
      <c r="I49" s="144">
        <v>0</v>
      </c>
      <c r="J49" s="45">
        <f>(E49-(LOOKUP(E49,ISR!$A$6:$B$17,ISR!$A$6:$A$17)))*(LOOKUP(E49,ISR!$A$6:$B$17,ISR!$D$6:$D$17))+(LOOKUP(E49,ISR!$A$6:$B$17,ISR!$C$6:$C$17))</f>
        <v>180.571088</v>
      </c>
      <c r="K49" s="197">
        <v>0</v>
      </c>
      <c r="L49" s="144">
        <v>0</v>
      </c>
      <c r="M49" s="249">
        <v>19.600000000000001</v>
      </c>
      <c r="N49" s="45">
        <v>0</v>
      </c>
      <c r="O49" s="252">
        <f t="shared" si="5"/>
        <v>3079.2059119999999</v>
      </c>
      <c r="P49" s="119"/>
      <c r="Q49" s="119"/>
      <c r="R49" s="119"/>
      <c r="S49" s="63"/>
    </row>
    <row r="50" spans="1:19" ht="46.5" customHeight="1">
      <c r="A50" s="18" t="s">
        <v>68</v>
      </c>
      <c r="B50" s="29">
        <v>25</v>
      </c>
      <c r="C50" s="31" t="s">
        <v>69</v>
      </c>
      <c r="D50" s="31" t="s">
        <v>61</v>
      </c>
      <c r="E50" s="165">
        <v>2434.1309999999999</v>
      </c>
      <c r="F50" s="44">
        <v>0</v>
      </c>
      <c r="G50" s="44">
        <v>200</v>
      </c>
      <c r="H50" s="180">
        <f>(E50/15)*5/2</f>
        <v>405.68849999999998</v>
      </c>
      <c r="I50" s="141"/>
      <c r="J50" s="45">
        <f>(E50-(LOOKUP(E50,ISR!$A$6:$B$17,ISR!$A$6:$A$17)))*(LOOKUP(E50,ISR!$A$6:$B$17,ISR!$D$6:$D$17))+(LOOKUP(E50,ISR!$A$6:$B$17,ISR!$C$6:$C$17))</f>
        <v>139.27534399999999</v>
      </c>
      <c r="K50" s="236">
        <v>0</v>
      </c>
      <c r="L50" s="141"/>
      <c r="M50" s="251">
        <v>18</v>
      </c>
      <c r="N50" s="44">
        <v>48.6</v>
      </c>
      <c r="O50" s="252">
        <f t="shared" si="5"/>
        <v>2833.9441559999996</v>
      </c>
      <c r="P50" s="297" t="s">
        <v>23</v>
      </c>
      <c r="Q50" s="297"/>
      <c r="R50" s="297"/>
      <c r="S50" s="63"/>
    </row>
    <row r="51" spans="1:19" ht="42.75" customHeight="1">
      <c r="A51" s="18" t="s">
        <v>20</v>
      </c>
      <c r="B51" s="29">
        <v>26</v>
      </c>
      <c r="C51" s="31" t="s">
        <v>70</v>
      </c>
      <c r="D51" s="31" t="s">
        <v>71</v>
      </c>
      <c r="E51" s="238">
        <v>5976.7470000000003</v>
      </c>
      <c r="F51" s="46">
        <v>0</v>
      </c>
      <c r="G51" s="46">
        <v>200</v>
      </c>
      <c r="H51" s="238">
        <f>(E51/15)*7/2</f>
        <v>1394.5743000000002</v>
      </c>
      <c r="I51" s="255"/>
      <c r="J51" s="46">
        <f>(E51-(LOOKUP(E51,ISR!$A$6:$B$17,ISR!$A$6:$A$17)))*(LOOKUP(E51,ISR!$A$6:$B$17,ISR!$D$6:$D$17))+(LOOKUP(E51,ISR!$A$6:$B$17,ISR!$C$6:$C$17))</f>
        <v>518.75792000000001</v>
      </c>
      <c r="K51" s="256">
        <v>0</v>
      </c>
      <c r="L51" s="255">
        <v>0</v>
      </c>
      <c r="M51" s="257">
        <v>30</v>
      </c>
      <c r="N51" s="46">
        <v>59.7</v>
      </c>
      <c r="O51" s="258">
        <f t="shared" si="5"/>
        <v>6962.8633800000007</v>
      </c>
      <c r="P51" s="297" t="s">
        <v>23</v>
      </c>
      <c r="Q51" s="297"/>
      <c r="R51" s="297"/>
      <c r="S51" s="63"/>
    </row>
    <row r="52" spans="1:19" ht="31.5" customHeight="1">
      <c r="C52" s="31"/>
      <c r="D52" s="31"/>
      <c r="E52" s="236">
        <f t="shared" ref="E52:O52" si="6">SUM(E43:E51)</f>
        <v>28524.069000000003</v>
      </c>
      <c r="F52" s="236">
        <f t="shared" si="6"/>
        <v>0</v>
      </c>
      <c r="G52" s="236">
        <f>SUM(G43:G51)</f>
        <v>1800</v>
      </c>
      <c r="H52" s="236">
        <f t="shared" si="6"/>
        <v>7194.3039000000017</v>
      </c>
      <c r="I52" s="236">
        <f t="shared" si="6"/>
        <v>0</v>
      </c>
      <c r="J52" s="236">
        <f t="shared" si="6"/>
        <v>1829.7142079999999</v>
      </c>
      <c r="K52" s="236">
        <f t="shared" si="6"/>
        <v>0</v>
      </c>
      <c r="L52" s="236">
        <f t="shared" si="6"/>
        <v>0</v>
      </c>
      <c r="M52" s="259">
        <f>SUM(M43:M51)</f>
        <v>185.2</v>
      </c>
      <c r="N52" s="236">
        <f>SUM(N43:N51)</f>
        <v>399.90000000000003</v>
      </c>
      <c r="O52" s="236">
        <f t="shared" si="6"/>
        <v>35103.558692000006</v>
      </c>
      <c r="S52" s="63"/>
    </row>
    <row r="53" spans="1:19" ht="15.75">
      <c r="C53" s="91" t="s">
        <v>72</v>
      </c>
      <c r="D53" s="31"/>
      <c r="E53" s="165"/>
      <c r="F53" s="44"/>
      <c r="G53" s="44"/>
      <c r="H53" s="165"/>
      <c r="I53" s="141"/>
      <c r="J53" s="44"/>
      <c r="K53" s="236"/>
      <c r="L53" s="141"/>
      <c r="M53" s="251"/>
      <c r="N53" s="44"/>
      <c r="O53" s="44"/>
      <c r="S53" s="63"/>
    </row>
    <row r="54" spans="1:19" ht="36" hidden="1" customHeight="1">
      <c r="A54" s="239"/>
      <c r="B54" s="240"/>
      <c r="C54" s="232"/>
      <c r="D54" s="232"/>
      <c r="E54" s="241"/>
      <c r="F54" s="242"/>
      <c r="G54" s="242"/>
      <c r="H54" s="286"/>
      <c r="I54" s="141"/>
      <c r="J54" s="45"/>
      <c r="K54" s="260"/>
      <c r="L54" s="261"/>
      <c r="M54" s="262"/>
      <c r="N54" s="242"/>
      <c r="O54" s="241"/>
      <c r="P54" s="300" t="s">
        <v>23</v>
      </c>
      <c r="Q54" s="300"/>
      <c r="R54" s="300"/>
      <c r="S54" s="63"/>
    </row>
    <row r="55" spans="1:19" ht="47.25" customHeight="1">
      <c r="A55" s="239" t="s">
        <v>20</v>
      </c>
      <c r="B55" s="240">
        <v>27</v>
      </c>
      <c r="C55" s="232" t="s">
        <v>73</v>
      </c>
      <c r="D55" s="232" t="s">
        <v>74</v>
      </c>
      <c r="E55" s="241">
        <v>4765.6350000000002</v>
      </c>
      <c r="F55" s="242">
        <v>0</v>
      </c>
      <c r="G55" s="242">
        <v>200</v>
      </c>
      <c r="H55" s="286">
        <f>(E55/15)*6/2</f>
        <v>953.12699999999995</v>
      </c>
      <c r="I55" s="141">
        <v>500</v>
      </c>
      <c r="J55" s="45">
        <f>(E55-(LOOKUP(E55,ISR!$A$6:$B$17,ISR!$A$6:$A$17)))*(LOOKUP(E55,ISR!$A$6:$B$17,ISR!$D$6:$D$17))+(LOOKUP(E55,ISR!$A$6:$B$17,ISR!$C$6:$C$17))</f>
        <v>362.02071999999998</v>
      </c>
      <c r="K55" s="260"/>
      <c r="L55" s="261">
        <v>0</v>
      </c>
      <c r="M55" s="262">
        <v>19.600000000000001</v>
      </c>
      <c r="N55" s="242">
        <v>48.6</v>
      </c>
      <c r="O55" s="252">
        <f>E55+F55+G55+H55+I55-J55-K55-L55-M55-N55</f>
        <v>5988.5412799999995</v>
      </c>
      <c r="P55" s="295" t="s">
        <v>23</v>
      </c>
      <c r="Q55" s="295"/>
      <c r="R55" s="295"/>
      <c r="S55" s="63"/>
    </row>
    <row r="56" spans="1:19" ht="47.25" customHeight="1">
      <c r="A56" s="239"/>
      <c r="B56" s="240"/>
      <c r="C56" s="232"/>
      <c r="D56" s="232"/>
      <c r="E56" s="241"/>
      <c r="F56" s="242"/>
      <c r="G56" s="242"/>
      <c r="H56" s="286"/>
      <c r="I56" s="141"/>
      <c r="J56" s="45"/>
      <c r="K56" s="260"/>
      <c r="L56" s="261"/>
      <c r="M56" s="262"/>
      <c r="N56" s="242"/>
      <c r="O56" s="91" t="s">
        <v>525</v>
      </c>
      <c r="P56" s="264"/>
      <c r="Q56" s="264"/>
      <c r="R56" s="264"/>
      <c r="S56" s="63"/>
    </row>
    <row r="57" spans="1:19" ht="44.25" customHeight="1">
      <c r="A57" s="239" t="s">
        <v>20</v>
      </c>
      <c r="B57" s="240">
        <v>28</v>
      </c>
      <c r="C57" s="232" t="s">
        <v>75</v>
      </c>
      <c r="D57" s="232" t="s">
        <v>76</v>
      </c>
      <c r="E57" s="241">
        <v>2540.16</v>
      </c>
      <c r="F57" s="241"/>
      <c r="G57" s="241">
        <v>200</v>
      </c>
      <c r="H57" s="286">
        <v>725.76</v>
      </c>
      <c r="I57" s="236">
        <v>500</v>
      </c>
      <c r="J57" s="180">
        <v>138.32</v>
      </c>
      <c r="K57" s="260">
        <v>0</v>
      </c>
      <c r="L57" s="260">
        <v>0</v>
      </c>
      <c r="M57" s="265">
        <v>17.54</v>
      </c>
      <c r="N57" s="241">
        <v>43.5</v>
      </c>
      <c r="O57" s="252">
        <f>E57+F57+G57+H57+I57-J57-K57-L57-M57-N57</f>
        <v>3766.56</v>
      </c>
      <c r="P57" s="300" t="s">
        <v>23</v>
      </c>
      <c r="Q57" s="300"/>
      <c r="R57" s="300"/>
      <c r="S57" s="266"/>
    </row>
    <row r="58" spans="1:19" ht="40.5" customHeight="1">
      <c r="A58" s="239"/>
      <c r="B58" s="240">
        <v>29</v>
      </c>
      <c r="C58" s="31" t="s">
        <v>77</v>
      </c>
      <c r="D58" s="232" t="s">
        <v>78</v>
      </c>
      <c r="E58" s="241">
        <v>2540.16</v>
      </c>
      <c r="F58" s="44">
        <v>0</v>
      </c>
      <c r="G58" s="242">
        <v>200</v>
      </c>
      <c r="H58" s="286">
        <f>(E58/15)*8.3/2</f>
        <v>702.77760000000001</v>
      </c>
      <c r="I58" s="141">
        <v>500</v>
      </c>
      <c r="J58" s="45">
        <f>(E58-(LOOKUP(E58,ISR!$A$6:$B$17,ISR!$A$6:$A$17)))*(LOOKUP(E58,ISR!$A$6:$B$17,ISR!$D$6:$D$17))+(LOOKUP(E58,ISR!$A$6:$B$17,ISR!$C$6:$C$17))</f>
        <v>146.06119999999999</v>
      </c>
      <c r="K58" s="260">
        <v>0</v>
      </c>
      <c r="L58" s="261"/>
      <c r="M58" s="262">
        <v>17.54</v>
      </c>
      <c r="N58" s="242"/>
      <c r="O58" s="252">
        <f>E58+F58+G58+H58+I58-J58-K58-L58-M58-N58</f>
        <v>3779.3363999999997</v>
      </c>
      <c r="P58" s="263"/>
      <c r="Q58" s="263"/>
      <c r="R58" s="263"/>
      <c r="S58" s="63"/>
    </row>
    <row r="59" spans="1:19" ht="38.25" customHeight="1">
      <c r="A59" s="239" t="s">
        <v>20</v>
      </c>
      <c r="B59" s="240">
        <v>30</v>
      </c>
      <c r="C59" s="232" t="s">
        <v>79</v>
      </c>
      <c r="D59" s="232" t="s">
        <v>76</v>
      </c>
      <c r="E59" s="241">
        <v>2540.16</v>
      </c>
      <c r="F59" s="242">
        <v>0</v>
      </c>
      <c r="G59" s="242">
        <v>200</v>
      </c>
      <c r="H59" s="286">
        <f>(E59/15)*9/2</f>
        <v>762.048</v>
      </c>
      <c r="I59" s="141">
        <v>500</v>
      </c>
      <c r="J59" s="45">
        <f>(E59-(LOOKUP(E59,ISR!$A$6:$B$17,ISR!$A$6:$A$17)))*(LOOKUP(E59,ISR!$A$6:$B$17,ISR!$D$6:$D$17))+(LOOKUP(E59,ISR!$A$6:$B$17,ISR!$C$6:$C$17))</f>
        <v>146.06119999999999</v>
      </c>
      <c r="K59" s="260">
        <v>0</v>
      </c>
      <c r="L59" s="261">
        <v>0</v>
      </c>
      <c r="M59" s="262">
        <v>17.54</v>
      </c>
      <c r="N59" s="242">
        <v>43.5</v>
      </c>
      <c r="O59" s="252">
        <f>E59+F59+G59+H59+I59-J59-K59-L59-M59-N59</f>
        <v>3795.1067999999996</v>
      </c>
      <c r="P59" s="302" t="s">
        <v>23</v>
      </c>
      <c r="Q59" s="302"/>
      <c r="R59" s="302"/>
      <c r="S59" s="63"/>
    </row>
    <row r="60" spans="1:19" ht="36.75" customHeight="1">
      <c r="A60" s="239"/>
      <c r="B60" s="240">
        <v>31</v>
      </c>
      <c r="C60" s="232" t="s">
        <v>80</v>
      </c>
      <c r="D60" s="232" t="s">
        <v>76</v>
      </c>
      <c r="E60" s="241">
        <v>2572.4789999999998</v>
      </c>
      <c r="F60" s="242">
        <v>0</v>
      </c>
      <c r="G60" s="242">
        <v>200</v>
      </c>
      <c r="H60" s="286">
        <f>(E60/15)*12/2</f>
        <v>1028.9915999999998</v>
      </c>
      <c r="I60" s="144"/>
      <c r="J60" s="45">
        <f>(E60-(LOOKUP(E60,ISR!$A$6:$B$17,ISR!$A$6:$A$17)))*(LOOKUP(E60,ISR!$A$6:$B$17,ISR!$D$6:$D$17))+(LOOKUP(E60,ISR!$A$6:$B$17,ISR!$C$6:$C$17))</f>
        <v>148.129616</v>
      </c>
      <c r="K60" s="260">
        <v>0</v>
      </c>
      <c r="L60" s="261">
        <v>0</v>
      </c>
      <c r="M60" s="262">
        <v>17.760000000000002</v>
      </c>
      <c r="N60" s="242">
        <v>43.95</v>
      </c>
      <c r="O60" s="252">
        <f>E60+F60+G60+H60+I60-J60-K60-L60-M60-N60</f>
        <v>3591.6309839999994</v>
      </c>
      <c r="P60" s="300" t="s">
        <v>23</v>
      </c>
      <c r="Q60" s="300"/>
      <c r="R60" s="300"/>
      <c r="S60" s="63"/>
    </row>
    <row r="61" spans="1:19" ht="42.75" customHeight="1">
      <c r="A61" s="18" t="s">
        <v>20</v>
      </c>
      <c r="B61" s="29">
        <v>32</v>
      </c>
      <c r="C61" s="31" t="s">
        <v>81</v>
      </c>
      <c r="D61" s="31" t="s">
        <v>76</v>
      </c>
      <c r="E61" s="234">
        <v>3613.491</v>
      </c>
      <c r="F61" s="231">
        <v>0</v>
      </c>
      <c r="G61" s="231">
        <v>200</v>
      </c>
      <c r="H61" s="234">
        <f>(E61/15)*12/2</f>
        <v>1445.3963999999999</v>
      </c>
      <c r="I61" s="244">
        <v>500</v>
      </c>
      <c r="J61" s="231">
        <f>(E61-(LOOKUP(E61,ISR!$A$6:$B$17,ISR!$A$6:$A$17)))*(LOOKUP(E61,ISR!$A$6:$B$17,ISR!$D$6:$D$17))+(LOOKUP(E61,ISR!$A$6:$B$17,ISR!$C$6:$C$17))</f>
        <v>236.66745279999998</v>
      </c>
      <c r="K61" s="245">
        <v>0</v>
      </c>
      <c r="L61" s="244"/>
      <c r="M61" s="246">
        <v>24.95</v>
      </c>
      <c r="N61" s="231">
        <v>61.95</v>
      </c>
      <c r="O61" s="247">
        <f>E61+F61+G61+H61+I61-J61-K61-L61-M61-N61</f>
        <v>5435.3199471999997</v>
      </c>
      <c r="P61" s="297" t="s">
        <v>23</v>
      </c>
      <c r="Q61" s="297"/>
      <c r="R61" s="297"/>
      <c r="S61" s="63"/>
    </row>
    <row r="62" spans="1:19" ht="24.75" customHeight="1">
      <c r="C62" s="31"/>
      <c r="D62" s="31"/>
      <c r="E62" s="236">
        <f>SUM(E55:E61)</f>
        <v>18572.084999999999</v>
      </c>
      <c r="F62" s="141">
        <f t="shared" ref="F62:L62" si="7">SUM(F54:F61)</f>
        <v>0</v>
      </c>
      <c r="G62" s="141">
        <f>SUM(G54:G61)</f>
        <v>1200</v>
      </c>
      <c r="H62" s="236">
        <f>SUM(H55:H61)</f>
        <v>5618.1005999999998</v>
      </c>
      <c r="I62" s="141">
        <f>SUM(I55:I61)</f>
        <v>2500</v>
      </c>
      <c r="J62" s="141">
        <f>SUM(J55:J61)</f>
        <v>1177.2601887999999</v>
      </c>
      <c r="K62" s="236">
        <f t="shared" si="7"/>
        <v>0</v>
      </c>
      <c r="L62" s="141">
        <f t="shared" si="7"/>
        <v>0</v>
      </c>
      <c r="M62" s="248">
        <f>SUM(M55:M61)</f>
        <v>114.93</v>
      </c>
      <c r="N62" s="141">
        <f>SUM(N55:N61)</f>
        <v>241.5</v>
      </c>
      <c r="O62" s="141">
        <f>SUM(O55:O61)</f>
        <v>26356.495411199998</v>
      </c>
      <c r="S62" s="63"/>
    </row>
    <row r="63" spans="1:19" ht="24.75" customHeight="1">
      <c r="C63" s="91" t="s">
        <v>82</v>
      </c>
      <c r="D63" s="31"/>
      <c r="E63" s="165"/>
      <c r="F63" s="44"/>
      <c r="G63" s="44"/>
      <c r="H63" s="165"/>
      <c r="I63" s="141"/>
      <c r="J63" s="44"/>
      <c r="K63" s="236"/>
      <c r="L63" s="141"/>
      <c r="M63" s="251"/>
      <c r="N63" s="44"/>
      <c r="O63" s="44"/>
      <c r="S63" s="63"/>
    </row>
    <row r="64" spans="1:19" ht="24.75" customHeight="1">
      <c r="B64" s="29">
        <v>33</v>
      </c>
      <c r="C64" s="31" t="s">
        <v>83</v>
      </c>
      <c r="D64" s="31" t="s">
        <v>84</v>
      </c>
      <c r="E64" s="180">
        <v>4861.4579999999996</v>
      </c>
      <c r="F64" s="45">
        <v>0</v>
      </c>
      <c r="G64" s="45">
        <v>200</v>
      </c>
      <c r="H64" s="180">
        <f>(E64/15)*11/2</f>
        <v>1782.5346</v>
      </c>
      <c r="I64" s="144"/>
      <c r="J64" s="45">
        <f>(E64-(LOOKUP(E64,ISR!$A$6:$B$17,ISR!$A$6:$A$17)))*(LOOKUP(E64,ISR!$A$6:$B$17,ISR!$D$6:$D$17))+(LOOKUP(E64,ISR!$A$6:$B$17,ISR!$C$6:$C$17))</f>
        <v>372.44626239999991</v>
      </c>
      <c r="K64" s="197">
        <v>0</v>
      </c>
      <c r="L64" s="144">
        <v>0</v>
      </c>
      <c r="M64" s="249">
        <v>28.9</v>
      </c>
      <c r="N64" s="45">
        <v>71.849999999999994</v>
      </c>
      <c r="O64" s="252">
        <f>E64+F64+G64+H64+I64-J64-K64-L64-M64-N64</f>
        <v>6370.7963375999998</v>
      </c>
      <c r="P64" s="297" t="s">
        <v>23</v>
      </c>
      <c r="Q64" s="297"/>
      <c r="R64" s="297"/>
      <c r="S64" s="63"/>
    </row>
    <row r="65" spans="1:19" ht="37.5" customHeight="1">
      <c r="B65" s="29">
        <v>34</v>
      </c>
      <c r="C65" s="31" t="s">
        <v>85</v>
      </c>
      <c r="D65" s="31" t="s">
        <v>86</v>
      </c>
      <c r="E65" s="234">
        <v>2411.451</v>
      </c>
      <c r="F65" s="231">
        <v>0</v>
      </c>
      <c r="G65" s="231">
        <v>200</v>
      </c>
      <c r="H65" s="234">
        <f>(E65/15)*11/2</f>
        <v>884.19869999999992</v>
      </c>
      <c r="I65" s="244">
        <v>0</v>
      </c>
      <c r="J65" s="231">
        <f>(E65-(LOOKUP(E65,ISR!$A$6:$B$17,ISR!$A$6:$A$17)))*(LOOKUP(E65,ISR!$A$6:$B$17,ISR!$D$6:$D$17))+(LOOKUP(E65,ISR!$A$6:$B$17,ISR!$C$6:$C$17))</f>
        <v>137.823824</v>
      </c>
      <c r="K65" s="245">
        <v>0</v>
      </c>
      <c r="L65" s="244"/>
      <c r="M65" s="246">
        <v>16.649999999999999</v>
      </c>
      <c r="N65" s="231">
        <v>41.55</v>
      </c>
      <c r="O65" s="247">
        <f>E65+F65+G65+H65+I65-J65-K65-L65-M65-N65</f>
        <v>3299.6258759999996</v>
      </c>
      <c r="P65" s="297" t="s">
        <v>23</v>
      </c>
      <c r="Q65" s="297"/>
      <c r="R65" s="297"/>
      <c r="S65" s="63"/>
    </row>
    <row r="66" spans="1:19" ht="24.75" customHeight="1">
      <c r="C66" s="31"/>
      <c r="D66" s="31"/>
      <c r="E66" s="236">
        <f>SUM(E64:E65)</f>
        <v>7272.9089999999997</v>
      </c>
      <c r="F66" s="141">
        <f>SUM(F65)</f>
        <v>0</v>
      </c>
      <c r="G66" s="141">
        <f>SUM(G64:G65)</f>
        <v>400</v>
      </c>
      <c r="H66" s="236">
        <f t="shared" ref="H66:O66" si="8">SUM(H64:H65)</f>
        <v>2666.7332999999999</v>
      </c>
      <c r="I66" s="141">
        <f t="shared" si="8"/>
        <v>0</v>
      </c>
      <c r="J66" s="141">
        <f t="shared" si="8"/>
        <v>510.27008639999991</v>
      </c>
      <c r="K66" s="236">
        <f t="shared" si="8"/>
        <v>0</v>
      </c>
      <c r="L66" s="141">
        <f t="shared" si="8"/>
        <v>0</v>
      </c>
      <c r="M66" s="248">
        <f>SUM(M64:M65)</f>
        <v>45.55</v>
      </c>
      <c r="N66" s="141">
        <f>SUM(N64:N65)</f>
        <v>113.39999999999999</v>
      </c>
      <c r="O66" s="141">
        <f t="shared" si="8"/>
        <v>9670.4222135999989</v>
      </c>
      <c r="S66" s="63"/>
    </row>
    <row r="67" spans="1:19" ht="24.75" customHeight="1">
      <c r="C67" s="87" t="s">
        <v>1</v>
      </c>
      <c r="D67" s="88"/>
      <c r="E67" s="165"/>
      <c r="F67" s="44"/>
      <c r="G67" s="44"/>
      <c r="H67" s="180"/>
      <c r="I67" s="141"/>
      <c r="J67" s="44"/>
      <c r="K67" s="236"/>
      <c r="L67" s="141"/>
      <c r="M67" s="251"/>
      <c r="N67" s="44"/>
      <c r="O67" s="165"/>
      <c r="S67" s="63"/>
    </row>
    <row r="68" spans="1:19" ht="20.25" customHeight="1">
      <c r="C68" s="301" t="s">
        <v>524</v>
      </c>
      <c r="D68" s="301"/>
      <c r="E68" s="301"/>
      <c r="F68" s="44"/>
      <c r="G68" s="44"/>
      <c r="H68" s="180"/>
      <c r="I68" s="141"/>
      <c r="J68" s="44"/>
      <c r="K68" s="236"/>
      <c r="L68" s="141"/>
      <c r="M68" s="251"/>
      <c r="N68" s="44"/>
      <c r="O68" s="91" t="s">
        <v>525</v>
      </c>
      <c r="P68" s="42"/>
      <c r="S68" s="63"/>
    </row>
    <row r="69" spans="1:19" ht="32.25" customHeight="1">
      <c r="C69" s="229" t="s">
        <v>7</v>
      </c>
      <c r="D69" s="229" t="s">
        <v>8</v>
      </c>
      <c r="E69" s="229" t="s">
        <v>9</v>
      </c>
      <c r="F69" s="229" t="s">
        <v>10</v>
      </c>
      <c r="G69" s="229" t="s">
        <v>11</v>
      </c>
      <c r="H69" s="230" t="s">
        <v>12</v>
      </c>
      <c r="I69" s="229" t="s">
        <v>13</v>
      </c>
      <c r="J69" s="229" t="s">
        <v>14</v>
      </c>
      <c r="K69" s="229" t="s">
        <v>341</v>
      </c>
      <c r="L69" s="229" t="s">
        <v>15</v>
      </c>
      <c r="M69" s="229" t="s">
        <v>16</v>
      </c>
      <c r="N69" s="229" t="s">
        <v>17</v>
      </c>
      <c r="O69" s="229" t="s">
        <v>18</v>
      </c>
      <c r="S69" s="63"/>
    </row>
    <row r="70" spans="1:19" ht="15.75">
      <c r="C70" s="91" t="s">
        <v>87</v>
      </c>
      <c r="D70" s="31"/>
      <c r="E70" s="180"/>
      <c r="F70" s="45"/>
      <c r="G70" s="45"/>
      <c r="H70" s="180"/>
      <c r="I70" s="144"/>
      <c r="J70" s="45"/>
      <c r="K70" s="197"/>
      <c r="L70" s="144"/>
      <c r="M70" s="249"/>
      <c r="N70" s="45"/>
      <c r="O70" s="45"/>
      <c r="S70" s="63"/>
    </row>
    <row r="71" spans="1:19" ht="30" customHeight="1">
      <c r="A71" s="18" t="s">
        <v>20</v>
      </c>
      <c r="B71" s="29">
        <v>35</v>
      </c>
      <c r="C71" s="31" t="s">
        <v>88</v>
      </c>
      <c r="D71" s="31" t="s">
        <v>61</v>
      </c>
      <c r="E71" s="234">
        <v>2582.6849999999999</v>
      </c>
      <c r="F71" s="231">
        <v>0</v>
      </c>
      <c r="G71" s="231">
        <v>200</v>
      </c>
      <c r="H71" s="234">
        <f>(E71/15)*12/2</f>
        <v>1033.0740000000001</v>
      </c>
      <c r="I71" s="244"/>
      <c r="J71" s="231">
        <f>(E71-(LOOKUP(E71,ISR!$A$6:$B$17,ISR!$A$6:$A$17)))*(LOOKUP(E71,ISR!$A$6:$B$17,ISR!$D$6:$D$17))+(LOOKUP(E71,ISR!$A$6:$B$17,ISR!$C$6:$C$17))</f>
        <v>148.78280000000001</v>
      </c>
      <c r="K71" s="245"/>
      <c r="L71" s="244">
        <v>0</v>
      </c>
      <c r="M71" s="246">
        <v>0</v>
      </c>
      <c r="N71" s="231">
        <v>44.4</v>
      </c>
      <c r="O71" s="247">
        <f>E71+F71+G71+H71+I71-J71-K71-L71-M71-N71</f>
        <v>3622.5762</v>
      </c>
      <c r="P71" s="297" t="s">
        <v>23</v>
      </c>
      <c r="Q71" s="297"/>
      <c r="R71" s="297"/>
      <c r="S71" s="63"/>
    </row>
    <row r="72" spans="1:19" ht="24.75" customHeight="1">
      <c r="C72" s="188"/>
      <c r="D72" s="31"/>
      <c r="E72" s="236">
        <f t="shared" ref="E72:O72" si="9">SUM(E71)</f>
        <v>2582.6849999999999</v>
      </c>
      <c r="F72" s="141">
        <f t="shared" si="9"/>
        <v>0</v>
      </c>
      <c r="G72" s="141">
        <f t="shared" si="9"/>
        <v>200</v>
      </c>
      <c r="H72" s="236">
        <f t="shared" si="9"/>
        <v>1033.0740000000001</v>
      </c>
      <c r="I72" s="141">
        <f t="shared" si="9"/>
        <v>0</v>
      </c>
      <c r="J72" s="141">
        <f t="shared" si="9"/>
        <v>148.78280000000001</v>
      </c>
      <c r="K72" s="236">
        <f t="shared" si="9"/>
        <v>0</v>
      </c>
      <c r="L72" s="141">
        <f t="shared" si="9"/>
        <v>0</v>
      </c>
      <c r="M72" s="248">
        <f t="shared" si="9"/>
        <v>0</v>
      </c>
      <c r="N72" s="141">
        <f>SUM(N71)</f>
        <v>44.4</v>
      </c>
      <c r="O72" s="141">
        <f t="shared" si="9"/>
        <v>3622.5762</v>
      </c>
      <c r="S72" s="63"/>
    </row>
    <row r="73" spans="1:19" ht="15.75" hidden="1">
      <c r="C73" s="91" t="s">
        <v>89</v>
      </c>
      <c r="D73" s="31"/>
      <c r="E73" s="165"/>
      <c r="F73" s="44"/>
      <c r="G73" s="44"/>
      <c r="H73" s="165"/>
      <c r="I73" s="141"/>
      <c r="J73" s="44"/>
      <c r="K73" s="236"/>
      <c r="L73" s="141"/>
      <c r="M73" s="251"/>
      <c r="N73" s="44"/>
      <c r="O73" s="44"/>
      <c r="S73" s="63"/>
    </row>
    <row r="74" spans="1:19" ht="30" hidden="1" customHeight="1">
      <c r="C74" s="31"/>
      <c r="D74" s="31"/>
      <c r="E74" s="234"/>
      <c r="F74" s="234"/>
      <c r="G74" s="234"/>
      <c r="H74" s="234"/>
      <c r="I74" s="245"/>
      <c r="J74" s="234"/>
      <c r="K74" s="245"/>
      <c r="L74" s="245"/>
      <c r="M74" s="270"/>
      <c r="N74" s="234"/>
      <c r="O74" s="234"/>
      <c r="P74" s="297" t="s">
        <v>23</v>
      </c>
      <c r="Q74" s="297"/>
      <c r="R74" s="297"/>
      <c r="S74" s="266"/>
    </row>
    <row r="75" spans="1:19" ht="24.75" hidden="1" customHeight="1">
      <c r="C75" s="31"/>
      <c r="D75" s="31"/>
      <c r="E75" s="141">
        <f t="shared" ref="E75:O75" si="10">SUM(E74:E74)</f>
        <v>0</v>
      </c>
      <c r="F75" s="141">
        <f t="shared" si="10"/>
        <v>0</v>
      </c>
      <c r="G75" s="141">
        <f t="shared" si="10"/>
        <v>0</v>
      </c>
      <c r="H75" s="236">
        <f t="shared" si="10"/>
        <v>0</v>
      </c>
      <c r="I75" s="141">
        <f t="shared" si="10"/>
        <v>0</v>
      </c>
      <c r="J75" s="141">
        <f t="shared" si="10"/>
        <v>0</v>
      </c>
      <c r="K75" s="236">
        <f t="shared" si="10"/>
        <v>0</v>
      </c>
      <c r="L75" s="141">
        <f t="shared" si="10"/>
        <v>0</v>
      </c>
      <c r="M75" s="248">
        <f t="shared" si="10"/>
        <v>0</v>
      </c>
      <c r="N75" s="141">
        <f t="shared" si="10"/>
        <v>0</v>
      </c>
      <c r="O75" s="141">
        <f t="shared" si="10"/>
        <v>0</v>
      </c>
      <c r="P75" s="117"/>
      <c r="Q75" s="117"/>
      <c r="R75" s="117"/>
      <c r="S75" s="63"/>
    </row>
    <row r="76" spans="1:19" ht="21" customHeight="1">
      <c r="C76" s="91" t="s">
        <v>89</v>
      </c>
      <c r="D76" s="31"/>
      <c r="E76" s="44"/>
      <c r="F76" s="44"/>
      <c r="G76" s="44"/>
      <c r="H76" s="165"/>
      <c r="I76" s="141"/>
      <c r="J76" s="44"/>
      <c r="K76" s="236"/>
      <c r="L76" s="141"/>
      <c r="M76" s="251"/>
      <c r="N76" s="44"/>
      <c r="O76" s="44"/>
      <c r="S76" s="63"/>
    </row>
    <row r="77" spans="1:19" ht="31.5" customHeight="1">
      <c r="A77" s="18" t="s">
        <v>20</v>
      </c>
      <c r="B77" s="29">
        <v>36</v>
      </c>
      <c r="C77" s="31" t="s">
        <v>90</v>
      </c>
      <c r="D77" s="31" t="s">
        <v>91</v>
      </c>
      <c r="E77" s="165">
        <v>3418.4430000000002</v>
      </c>
      <c r="F77" s="165">
        <v>0</v>
      </c>
      <c r="G77" s="165">
        <v>200</v>
      </c>
      <c r="H77" s="180">
        <f>(E77/15)*11/2</f>
        <v>1253.4291000000001</v>
      </c>
      <c r="I77" s="236">
        <v>800</v>
      </c>
      <c r="J77" s="165">
        <f>(E77-(LOOKUP(E77,ISR!$A$6:$B$17,ISR!$A$6:$A$17)))*(LOOKUP(E77,ISR!$A$6:$B$17,ISR!$D$6:$D$17))+(LOOKUP(E77,ISR!$A$6:$B$17,ISR!$C$6:$C$17))</f>
        <v>215.44623039999999</v>
      </c>
      <c r="K77" s="236">
        <v>0</v>
      </c>
      <c r="L77" s="236">
        <v>0</v>
      </c>
      <c r="M77" s="271">
        <v>23.6</v>
      </c>
      <c r="N77" s="165">
        <v>58.65</v>
      </c>
      <c r="O77" s="252">
        <f>E77+F77+G77+H77+I77-J77-K77-L77-M77-N77</f>
        <v>5374.1758696000006</v>
      </c>
      <c r="P77" s="297" t="s">
        <v>23</v>
      </c>
      <c r="Q77" s="297"/>
      <c r="R77" s="297"/>
      <c r="S77" s="63"/>
    </row>
    <row r="78" spans="1:19" ht="47.25" customHeight="1">
      <c r="A78" s="18" t="s">
        <v>20</v>
      </c>
      <c r="B78" s="29">
        <v>37</v>
      </c>
      <c r="C78" s="31" t="s">
        <v>92</v>
      </c>
      <c r="D78" s="31" t="s">
        <v>91</v>
      </c>
      <c r="E78" s="180">
        <v>2571.9119999999998</v>
      </c>
      <c r="F78" s="180">
        <v>0</v>
      </c>
      <c r="G78" s="180">
        <v>200</v>
      </c>
      <c r="H78" s="180">
        <f>(E78/15)*10/2</f>
        <v>857.30399999999986</v>
      </c>
      <c r="I78" s="197"/>
      <c r="J78" s="180">
        <f>(E78-(LOOKUP(E78,ISR!$A$6:$B$17,ISR!$A$6:$A$17)))*(LOOKUP(E78,ISR!$A$6:$B$17,ISR!$D$6:$D$17))+(LOOKUP(E78,ISR!$A$6:$B$17,ISR!$C$6:$C$17))</f>
        <v>148.09332799999999</v>
      </c>
      <c r="K78" s="197"/>
      <c r="L78" s="180"/>
      <c r="M78" s="272">
        <v>17.760000000000002</v>
      </c>
      <c r="N78" s="180">
        <v>43.95</v>
      </c>
      <c r="O78" s="252">
        <f>E78+F78+G78+H78+I78-J78-K78-L78-M78-N78</f>
        <v>3419.4126719999995</v>
      </c>
      <c r="P78" s="298" t="s">
        <v>23</v>
      </c>
      <c r="Q78" s="298"/>
      <c r="R78" s="298"/>
      <c r="S78" s="63"/>
    </row>
    <row r="79" spans="1:19" ht="43.5" customHeight="1">
      <c r="A79" s="18" t="s">
        <v>20</v>
      </c>
      <c r="B79" s="29">
        <v>38</v>
      </c>
      <c r="C79" s="31" t="s">
        <v>93</v>
      </c>
      <c r="D79" s="31" t="s">
        <v>91</v>
      </c>
      <c r="E79" s="180">
        <v>3464.9369999999999</v>
      </c>
      <c r="F79" s="45">
        <v>0</v>
      </c>
      <c r="G79" s="45">
        <v>200</v>
      </c>
      <c r="H79" s="180">
        <f>(E79/15)*10/2</f>
        <v>1154.979</v>
      </c>
      <c r="I79" s="144"/>
      <c r="J79" s="45">
        <f>(E79-(LOOKUP(E79,ISR!$A$6:$B$17,ISR!$A$6:$A$17)))*(LOOKUP(E79,ISR!$A$6:$B$17,ISR!$D$6:$D$17))+(LOOKUP(E79,ISR!$A$6:$B$17,ISR!$C$6:$C$17))</f>
        <v>220.50477759999995</v>
      </c>
      <c r="K79" s="197">
        <v>1000</v>
      </c>
      <c r="L79" s="144"/>
      <c r="M79" s="249">
        <v>0</v>
      </c>
      <c r="N79" s="45">
        <v>59.55</v>
      </c>
      <c r="O79" s="252">
        <f>E79+F79+G79+H79+I79-J79-K79-L79-M79-N79</f>
        <v>3539.8612223999999</v>
      </c>
      <c r="P79" s="298" t="s">
        <v>23</v>
      </c>
      <c r="Q79" s="298"/>
      <c r="R79" s="298"/>
      <c r="S79" s="63"/>
    </row>
    <row r="80" spans="1:19" ht="43.5" customHeight="1">
      <c r="B80" s="29">
        <v>39</v>
      </c>
      <c r="C80" s="31" t="s">
        <v>94</v>
      </c>
      <c r="D80" s="31" t="s">
        <v>91</v>
      </c>
      <c r="E80" s="234">
        <v>3210.8159999999998</v>
      </c>
      <c r="F80" s="231"/>
      <c r="G80" s="231">
        <v>200</v>
      </c>
      <c r="H80" s="234"/>
      <c r="I80" s="244"/>
      <c r="J80" s="231"/>
      <c r="K80" s="245"/>
      <c r="L80" s="244"/>
      <c r="M80" s="246">
        <v>19.600000000000001</v>
      </c>
      <c r="N80" s="231"/>
      <c r="O80" s="247">
        <f>E80+F80+G80+H80+I80-J80-K80-L80-M80-N80</f>
        <v>3391.2159999999999</v>
      </c>
      <c r="P80" s="219"/>
      <c r="Q80" s="219"/>
      <c r="R80" s="219"/>
      <c r="S80" s="63"/>
    </row>
    <row r="81" spans="1:20" ht="24.75" customHeight="1">
      <c r="C81" s="31"/>
      <c r="D81" s="31"/>
      <c r="E81" s="236">
        <f>SUM(E77:E80)</f>
        <v>12666.108</v>
      </c>
      <c r="F81" s="141"/>
      <c r="G81" s="236">
        <f t="shared" ref="G81:L81" si="11">SUM(G77:G80)</f>
        <v>800</v>
      </c>
      <c r="H81" s="236">
        <f t="shared" si="11"/>
        <v>3265.7120999999997</v>
      </c>
      <c r="I81" s="236">
        <f t="shared" si="11"/>
        <v>800</v>
      </c>
      <c r="J81" s="236">
        <f t="shared" si="11"/>
        <v>584.04433599999993</v>
      </c>
      <c r="K81" s="236">
        <f t="shared" si="11"/>
        <v>1000</v>
      </c>
      <c r="L81" s="236">
        <f t="shared" si="11"/>
        <v>0</v>
      </c>
      <c r="M81" s="236">
        <f>SUM(M77:M80)</f>
        <v>60.96</v>
      </c>
      <c r="N81" s="236">
        <f>SUM(N77:N80)</f>
        <v>162.14999999999998</v>
      </c>
      <c r="O81" s="141">
        <f>+O77+O78+O79+O80</f>
        <v>15724.665764000001</v>
      </c>
      <c r="S81" s="63"/>
    </row>
    <row r="82" spans="1:20" ht="15.75">
      <c r="C82" s="91" t="s">
        <v>95</v>
      </c>
      <c r="D82" s="31"/>
      <c r="E82" s="180"/>
      <c r="F82" s="45"/>
      <c r="G82" s="45"/>
      <c r="H82" s="180"/>
      <c r="I82" s="144"/>
      <c r="J82" s="45"/>
      <c r="K82" s="197"/>
      <c r="L82" s="144"/>
      <c r="M82" s="249"/>
      <c r="N82" s="45"/>
      <c r="O82" s="45"/>
      <c r="S82" s="63"/>
    </row>
    <row r="83" spans="1:20" ht="24.75" customHeight="1">
      <c r="A83" s="18" t="s">
        <v>20</v>
      </c>
      <c r="B83" s="29">
        <v>40</v>
      </c>
      <c r="C83" s="31" t="s">
        <v>96</v>
      </c>
      <c r="D83" s="31" t="s">
        <v>97</v>
      </c>
      <c r="E83" s="234">
        <v>5152.8959999999997</v>
      </c>
      <c r="F83" s="231">
        <v>0</v>
      </c>
      <c r="G83" s="231">
        <v>200</v>
      </c>
      <c r="H83" s="234">
        <f>(E83/15)*13/2</f>
        <v>2232.9215999999997</v>
      </c>
      <c r="I83" s="244">
        <v>0</v>
      </c>
      <c r="J83" s="231">
        <f>(E83-(LOOKUP(E83,ISR!$A$6:$B$17,ISR!$A$6:$A$17)))*(LOOKUP(E83,ISR!$A$6:$B$17,ISR!$D$6:$D$17))+(LOOKUP(E83,ISR!$A$6:$B$17,ISR!$C$6:$C$17))</f>
        <v>404.15471679999996</v>
      </c>
      <c r="K83" s="245">
        <v>0</v>
      </c>
      <c r="L83" s="244">
        <v>0</v>
      </c>
      <c r="M83" s="246">
        <v>35.58</v>
      </c>
      <c r="N83" s="231"/>
      <c r="O83" s="247">
        <f>E83+F83+G83+H83+I83-J83-K83-L83-M83-N83</f>
        <v>7146.0828831999997</v>
      </c>
      <c r="P83" s="297" t="s">
        <v>23</v>
      </c>
      <c r="Q83" s="297"/>
      <c r="R83" s="297"/>
      <c r="S83" s="63"/>
    </row>
    <row r="84" spans="1:20" ht="24.75" customHeight="1">
      <c r="C84" s="31"/>
      <c r="D84" s="31"/>
      <c r="E84" s="236">
        <f t="shared" ref="E84:O84" si="12">SUM(E83:E83)</f>
        <v>5152.8959999999997</v>
      </c>
      <c r="F84" s="141">
        <f t="shared" si="12"/>
        <v>0</v>
      </c>
      <c r="G84" s="141">
        <f t="shared" si="12"/>
        <v>200</v>
      </c>
      <c r="H84" s="236">
        <f t="shared" si="12"/>
        <v>2232.9215999999997</v>
      </c>
      <c r="I84" s="141">
        <f t="shared" si="12"/>
        <v>0</v>
      </c>
      <c r="J84" s="141">
        <f t="shared" si="12"/>
        <v>404.15471679999996</v>
      </c>
      <c r="K84" s="236">
        <f t="shared" si="12"/>
        <v>0</v>
      </c>
      <c r="L84" s="141">
        <f t="shared" si="12"/>
        <v>0</v>
      </c>
      <c r="M84" s="248">
        <f>SUM(M83:M83)</f>
        <v>35.58</v>
      </c>
      <c r="N84" s="141">
        <f t="shared" si="12"/>
        <v>0</v>
      </c>
      <c r="O84" s="141">
        <f t="shared" si="12"/>
        <v>7146.0828831999997</v>
      </c>
      <c r="S84" s="63"/>
    </row>
    <row r="85" spans="1:20" ht="15.75">
      <c r="C85" s="91" t="s">
        <v>98</v>
      </c>
      <c r="D85" s="31"/>
      <c r="E85" s="165"/>
      <c r="F85" s="44"/>
      <c r="G85" s="44"/>
      <c r="H85" s="165"/>
      <c r="I85" s="141"/>
      <c r="J85" s="44"/>
      <c r="K85" s="236"/>
      <c r="L85" s="141"/>
      <c r="M85" s="251"/>
      <c r="N85" s="44"/>
      <c r="O85" s="44"/>
      <c r="S85" s="63"/>
    </row>
    <row r="86" spans="1:20" ht="28.5" customHeight="1">
      <c r="A86" s="18" t="s">
        <v>20</v>
      </c>
      <c r="B86" s="29">
        <v>41</v>
      </c>
      <c r="C86" s="31" t="s">
        <v>99</v>
      </c>
      <c r="D86" s="31" t="s">
        <v>100</v>
      </c>
      <c r="E86" s="234">
        <v>4830</v>
      </c>
      <c r="F86" s="231">
        <v>0</v>
      </c>
      <c r="G86" s="231">
        <v>200</v>
      </c>
      <c r="H86" s="234">
        <f>(E86/15)*13/2</f>
        <v>2093</v>
      </c>
      <c r="I86" s="244">
        <v>0</v>
      </c>
      <c r="J86" s="231">
        <f>(E86-(LOOKUP(E86,ISR!$A$6:$B$17,ISR!$A$6:$A$17)))*(LOOKUP(E86,ISR!$A$6:$B$17,ISR!$D$6:$D$17))+(LOOKUP(E86,ISR!$A$6:$B$17,ISR!$C$6:$C$17))</f>
        <v>369.02363199999996</v>
      </c>
      <c r="K86" s="245">
        <v>0</v>
      </c>
      <c r="L86" s="244"/>
      <c r="M86" s="246">
        <v>0</v>
      </c>
      <c r="N86" s="231">
        <v>66.739999999999995</v>
      </c>
      <c r="O86" s="247">
        <f>E86+F86+G86+H86+I86-J86-K86-L86-M86-N86</f>
        <v>6687.2363679999999</v>
      </c>
      <c r="P86" s="297" t="s">
        <v>23</v>
      </c>
      <c r="Q86" s="297"/>
      <c r="R86" s="297"/>
      <c r="S86" s="63"/>
    </row>
    <row r="87" spans="1:20" ht="24.75" customHeight="1">
      <c r="C87" s="31"/>
      <c r="D87" s="31"/>
      <c r="E87" s="236">
        <f t="shared" ref="E87:O87" si="13">SUM(E86)</f>
        <v>4830</v>
      </c>
      <c r="F87" s="141">
        <f t="shared" si="13"/>
        <v>0</v>
      </c>
      <c r="G87" s="141">
        <f t="shared" si="13"/>
        <v>200</v>
      </c>
      <c r="H87" s="236">
        <f t="shared" si="13"/>
        <v>2093</v>
      </c>
      <c r="I87" s="141">
        <f t="shared" si="13"/>
        <v>0</v>
      </c>
      <c r="J87" s="141">
        <f t="shared" si="13"/>
        <v>369.02363199999996</v>
      </c>
      <c r="K87" s="236">
        <f t="shared" si="13"/>
        <v>0</v>
      </c>
      <c r="L87" s="141">
        <f t="shared" si="13"/>
        <v>0</v>
      </c>
      <c r="M87" s="248">
        <f t="shared" si="13"/>
        <v>0</v>
      </c>
      <c r="N87" s="141">
        <f>SUM(N86)</f>
        <v>66.739999999999995</v>
      </c>
      <c r="O87" s="141">
        <f t="shared" si="13"/>
        <v>6687.2363679999999</v>
      </c>
      <c r="S87" s="63"/>
    </row>
    <row r="88" spans="1:20" ht="15.75">
      <c r="C88" s="91" t="s">
        <v>101</v>
      </c>
      <c r="D88" s="31"/>
      <c r="E88" s="180"/>
      <c r="F88" s="45"/>
      <c r="G88" s="45"/>
      <c r="H88" s="180"/>
      <c r="I88" s="144"/>
      <c r="J88" s="45"/>
      <c r="K88" s="197"/>
      <c r="L88" s="144"/>
      <c r="M88" s="249"/>
      <c r="N88" s="45"/>
      <c r="O88" s="45"/>
      <c r="S88" s="63"/>
    </row>
    <row r="89" spans="1:20" ht="27.75" customHeight="1">
      <c r="A89" s="18" t="s">
        <v>20</v>
      </c>
      <c r="B89" s="29">
        <v>42</v>
      </c>
      <c r="C89" s="31" t="s">
        <v>102</v>
      </c>
      <c r="D89" s="31" t="s">
        <v>103</v>
      </c>
      <c r="E89" s="180">
        <v>5463.6120000000001</v>
      </c>
      <c r="F89" s="45">
        <v>0</v>
      </c>
      <c r="G89" s="45">
        <v>200</v>
      </c>
      <c r="H89" s="180">
        <f>(E89/15)*12/2</f>
        <v>2185.4447999999998</v>
      </c>
      <c r="I89" s="144"/>
      <c r="J89" s="45">
        <f>(E89-(LOOKUP(E89,ISR!$A$6:$B$17,ISR!$A$6:$A$17)))*(LOOKUP(E89,ISR!$A$6:$B$17,ISR!$D$6:$D$17))+(LOOKUP(E89,ISR!$A$6:$B$17,ISR!$C$6:$C$17))</f>
        <v>437.96061759999998</v>
      </c>
      <c r="K89" s="197"/>
      <c r="L89" s="144"/>
      <c r="M89" s="249">
        <v>28.66</v>
      </c>
      <c r="N89" s="45">
        <v>71.25</v>
      </c>
      <c r="O89" s="252">
        <f>E89+F89+G89+H89+I89-J89-K89-L89-M89-N89</f>
        <v>7311.1861824000007</v>
      </c>
      <c r="P89" s="297" t="s">
        <v>23</v>
      </c>
      <c r="Q89" s="297"/>
      <c r="R89" s="297"/>
      <c r="S89" s="63">
        <v>5000</v>
      </c>
      <c r="T89" s="39" t="s">
        <v>104</v>
      </c>
    </row>
    <row r="90" spans="1:20" ht="48" customHeight="1">
      <c r="A90" s="18" t="s">
        <v>20</v>
      </c>
      <c r="B90" s="29">
        <v>43</v>
      </c>
      <c r="C90" s="31" t="s">
        <v>105</v>
      </c>
      <c r="D90" s="31" t="s">
        <v>106</v>
      </c>
      <c r="E90" s="234">
        <v>3606.12</v>
      </c>
      <c r="F90" s="231">
        <v>0</v>
      </c>
      <c r="G90" s="231">
        <v>200</v>
      </c>
      <c r="H90" s="234">
        <f>(E90/15)*6/2</f>
        <v>721.22399999999993</v>
      </c>
      <c r="I90" s="244">
        <f>935+800+(E90/15*1)</f>
        <v>1975.4079999999999</v>
      </c>
      <c r="J90" s="231">
        <f>(E90-(LOOKUP(E90,ISR!$A$6:$B$17,ISR!$A$6:$A$17)))*(LOOKUP(E90,ISR!$A$6:$B$17,ISR!$D$6:$D$17))+(LOOKUP(E90,ISR!$A$6:$B$17,ISR!$C$6:$C$17))</f>
        <v>235.86548799999997</v>
      </c>
      <c r="K90" s="245">
        <v>0</v>
      </c>
      <c r="L90" s="244">
        <v>0</v>
      </c>
      <c r="M90" s="246">
        <v>0</v>
      </c>
      <c r="N90" s="231">
        <v>47.5</v>
      </c>
      <c r="O90" s="247">
        <f>E90+F90+G90+H90+I90-J90-K90-L90-M90-N90</f>
        <v>6219.386512</v>
      </c>
      <c r="P90" s="298" t="s">
        <v>23</v>
      </c>
      <c r="Q90" s="298"/>
      <c r="R90" s="298"/>
      <c r="S90" s="63"/>
    </row>
    <row r="91" spans="1:20" ht="24.75" customHeight="1">
      <c r="C91" s="31"/>
      <c r="D91" s="31"/>
      <c r="E91" s="141">
        <f>SUM(E89:E90)</f>
        <v>9069.732</v>
      </c>
      <c r="F91" s="141">
        <f t="shared" ref="F91:O91" si="14">SUM(F89:F90)</f>
        <v>0</v>
      </c>
      <c r="G91" s="141">
        <f t="shared" si="14"/>
        <v>400</v>
      </c>
      <c r="H91" s="236">
        <f t="shared" si="14"/>
        <v>2906.6687999999995</v>
      </c>
      <c r="I91" s="141">
        <f t="shared" si="14"/>
        <v>1975.4079999999999</v>
      </c>
      <c r="J91" s="141">
        <f t="shared" si="14"/>
        <v>673.82610559999989</v>
      </c>
      <c r="K91" s="236">
        <f t="shared" si="14"/>
        <v>0</v>
      </c>
      <c r="L91" s="141">
        <f t="shared" si="14"/>
        <v>0</v>
      </c>
      <c r="M91" s="248">
        <f>SUM(M89:M90)</f>
        <v>28.66</v>
      </c>
      <c r="N91" s="141">
        <f>SUM(N89:N90)</f>
        <v>118.75</v>
      </c>
      <c r="O91" s="141">
        <f t="shared" si="14"/>
        <v>13530.572694400002</v>
      </c>
      <c r="S91" s="63"/>
    </row>
    <row r="92" spans="1:20" ht="24.75" customHeight="1">
      <c r="C92" s="31"/>
      <c r="D92" s="31"/>
      <c r="E92" s="141"/>
      <c r="F92" s="141"/>
      <c r="G92" s="141"/>
      <c r="H92" s="236"/>
      <c r="I92" s="141"/>
      <c r="J92" s="141"/>
      <c r="K92" s="236"/>
      <c r="L92" s="141"/>
      <c r="M92" s="248"/>
      <c r="N92" s="141"/>
      <c r="O92" s="141"/>
      <c r="S92" s="63"/>
    </row>
    <row r="93" spans="1:20" ht="24.75" customHeight="1">
      <c r="C93" s="91" t="s">
        <v>107</v>
      </c>
      <c r="D93" s="31"/>
      <c r="E93" s="267">
        <f>+E11+E17+E21+E28+E31+E38+E52+E62+E66+E72+E81+E84+E87+E91</f>
        <v>156103.15166666664</v>
      </c>
      <c r="F93" s="267">
        <f>F11+F17+F21+F28+F31+F38+F52+F62+F66+F72+F75+F81+F84+F87+F91</f>
        <v>0</v>
      </c>
      <c r="G93" s="267">
        <f t="shared" ref="G93:O93" si="15">+G11+G17+G21+G28+G31+G38+G52+G62+G66+G72+G81+G84+G87+G91</f>
        <v>8400</v>
      </c>
      <c r="H93" s="267">
        <f t="shared" si="15"/>
        <v>49215.18286666667</v>
      </c>
      <c r="I93" s="267">
        <f t="shared" si="15"/>
        <v>11217.407999999999</v>
      </c>
      <c r="J93" s="267">
        <f t="shared" si="15"/>
        <v>10805.885702400001</v>
      </c>
      <c r="K93" s="267">
        <f t="shared" si="15"/>
        <v>1000</v>
      </c>
      <c r="L93" s="267">
        <f t="shared" si="15"/>
        <v>0</v>
      </c>
      <c r="M93" s="267">
        <f t="shared" si="15"/>
        <v>862.97</v>
      </c>
      <c r="N93" s="267">
        <f t="shared" si="15"/>
        <v>2099.4899999999998</v>
      </c>
      <c r="O93" s="267">
        <f t="shared" si="15"/>
        <v>210167.39683093334</v>
      </c>
      <c r="Q93" s="42"/>
    </row>
    <row r="94" spans="1:20" ht="24.75" customHeight="1">
      <c r="C94" s="91"/>
      <c r="D94" s="31"/>
      <c r="E94" s="268"/>
      <c r="F94" s="268"/>
      <c r="G94" s="268"/>
      <c r="H94" s="268"/>
      <c r="I94" s="268"/>
      <c r="J94" s="268"/>
      <c r="K94" s="268"/>
      <c r="L94" s="268"/>
      <c r="M94" s="273"/>
      <c r="N94" s="268"/>
      <c r="O94" s="268"/>
    </row>
    <row r="95" spans="1:20" ht="24.75" customHeight="1">
      <c r="C95" s="91"/>
      <c r="D95" s="31"/>
      <c r="E95" s="268"/>
      <c r="F95" s="268"/>
      <c r="G95" s="268"/>
      <c r="H95" s="268"/>
      <c r="I95" s="268"/>
      <c r="J95" s="268"/>
      <c r="K95" s="268"/>
      <c r="L95" s="268"/>
      <c r="M95" s="273"/>
      <c r="N95" s="268"/>
      <c r="O95" s="268"/>
    </row>
    <row r="96" spans="1:20" ht="24.75" customHeight="1">
      <c r="C96" s="91"/>
      <c r="D96" s="31"/>
      <c r="E96" s="268"/>
      <c r="F96" s="268"/>
      <c r="G96" s="268"/>
      <c r="H96" s="268"/>
      <c r="I96" s="268"/>
      <c r="J96" s="268"/>
      <c r="K96" s="268"/>
      <c r="L96" s="268"/>
      <c r="M96" s="273"/>
      <c r="N96" s="268"/>
      <c r="O96" s="268">
        <f>E93+G93+H93+I93-J93-L9-K93-L93-M93-N93</f>
        <v>210167.39683093331</v>
      </c>
    </row>
    <row r="97" spans="3:20" ht="39.75" customHeight="1">
      <c r="C97" s="31"/>
      <c r="D97" s="31"/>
      <c r="E97" s="31"/>
      <c r="F97" s="44"/>
      <c r="G97" s="44"/>
      <c r="H97" s="165"/>
      <c r="I97" s="141"/>
      <c r="J97" s="44"/>
      <c r="K97" s="236"/>
      <c r="L97" s="141"/>
      <c r="M97" s="251"/>
      <c r="N97" s="44"/>
      <c r="O97" s="35"/>
    </row>
    <row r="98" spans="3:20" ht="15" customHeight="1">
      <c r="C98" s="269" t="s">
        <v>108</v>
      </c>
      <c r="D98" s="188"/>
      <c r="E98" s="188"/>
      <c r="F98" s="188"/>
      <c r="G98" s="188"/>
      <c r="H98" s="188"/>
      <c r="I98" s="188"/>
      <c r="J98" s="188"/>
      <c r="K98" s="299" t="s">
        <v>521</v>
      </c>
      <c r="L98" s="299"/>
      <c r="M98" s="299"/>
      <c r="N98" s="44"/>
      <c r="O98" s="44"/>
    </row>
    <row r="99" spans="3:20" ht="15.75">
      <c r="C99" s="188" t="s">
        <v>109</v>
      </c>
      <c r="D99" s="188"/>
      <c r="E99" s="188"/>
      <c r="F99" s="188"/>
      <c r="G99" s="65"/>
      <c r="H99" s="188"/>
      <c r="I99" s="188"/>
      <c r="J99" s="188"/>
      <c r="K99" s="296" t="s">
        <v>519</v>
      </c>
      <c r="L99" s="296"/>
      <c r="M99" s="296"/>
      <c r="N99" s="44"/>
      <c r="O99" s="44"/>
      <c r="P99" s="35"/>
    </row>
    <row r="100" spans="3:20" ht="15.75">
      <c r="C100" s="188"/>
      <c r="D100" s="188"/>
      <c r="E100" s="188"/>
      <c r="F100" s="141"/>
      <c r="G100" s="141"/>
      <c r="H100" s="236"/>
      <c r="I100" s="141"/>
      <c r="J100" s="141"/>
      <c r="K100" s="236"/>
      <c r="L100" s="141"/>
      <c r="M100" s="248"/>
      <c r="N100" s="44"/>
      <c r="O100" s="44"/>
    </row>
    <row r="101" spans="3:20">
      <c r="F101" s="20"/>
      <c r="G101" s="20"/>
      <c r="H101" s="97"/>
      <c r="I101" s="84"/>
      <c r="J101" s="20"/>
      <c r="K101" s="85"/>
      <c r="L101" s="84"/>
      <c r="M101" s="274"/>
      <c r="N101" s="20"/>
      <c r="O101" s="20"/>
    </row>
    <row r="102" spans="3:20">
      <c r="F102" s="20"/>
      <c r="G102" s="20"/>
      <c r="H102" s="97"/>
      <c r="I102" s="84"/>
      <c r="J102" s="20"/>
      <c r="K102" s="85"/>
      <c r="L102" s="84"/>
      <c r="M102" s="274"/>
      <c r="N102" s="20"/>
    </row>
    <row r="103" spans="3:20" ht="33" customHeight="1">
      <c r="E103" s="104"/>
      <c r="F103" s="104"/>
      <c r="G103" s="104"/>
      <c r="H103" s="104"/>
      <c r="I103" s="109"/>
      <c r="J103" s="104"/>
      <c r="K103" s="109"/>
      <c r="L103" s="109"/>
      <c r="M103" s="275"/>
      <c r="N103" s="104"/>
      <c r="O103" s="35"/>
      <c r="P103" s="294"/>
      <c r="Q103" s="294"/>
      <c r="R103" s="294"/>
    </row>
    <row r="104" spans="3:20" ht="24.95" customHeight="1">
      <c r="E104" s="105"/>
      <c r="F104" s="105"/>
      <c r="G104" s="105"/>
      <c r="H104" s="104"/>
      <c r="I104" s="106"/>
      <c r="J104" s="105"/>
      <c r="K104" s="109"/>
      <c r="L104" s="106"/>
      <c r="M104" s="276"/>
      <c r="N104" s="105"/>
      <c r="O104" s="268"/>
      <c r="P104" s="105"/>
      <c r="Q104" s="105"/>
      <c r="R104" s="105"/>
      <c r="S104" s="20"/>
      <c r="T104" s="20"/>
    </row>
    <row r="106" spans="3:20">
      <c r="I106" s="29"/>
      <c r="K106" s="55"/>
    </row>
    <row r="107" spans="3:20" ht="24.95" customHeight="1">
      <c r="E107" s="104"/>
      <c r="F107" s="105"/>
      <c r="G107" s="105"/>
      <c r="H107" s="104"/>
      <c r="I107" s="29"/>
      <c r="K107" s="109"/>
      <c r="L107" s="106"/>
      <c r="M107" s="276"/>
      <c r="N107" s="105"/>
      <c r="O107" s="105"/>
      <c r="P107" s="105"/>
      <c r="Q107" s="105"/>
      <c r="R107" s="105"/>
      <c r="S107" s="20"/>
      <c r="T107" s="20"/>
    </row>
    <row r="108" spans="3:20">
      <c r="E108" s="39"/>
      <c r="I108" s="29"/>
    </row>
    <row r="109" spans="3:20">
      <c r="E109" s="39"/>
      <c r="F109" s="63"/>
      <c r="I109" s="29"/>
      <c r="K109" s="55"/>
    </row>
    <row r="110" spans="3:20">
      <c r="E110" s="39"/>
      <c r="F110" s="63"/>
      <c r="I110" s="29"/>
      <c r="K110" s="277"/>
    </row>
    <row r="111" spans="3:20">
      <c r="E111" s="39"/>
      <c r="F111" s="63"/>
      <c r="I111" s="29"/>
    </row>
    <row r="112" spans="3:20">
      <c r="E112" s="39"/>
      <c r="I112" s="29"/>
    </row>
    <row r="113" spans="5:21">
      <c r="E113" s="55"/>
      <c r="I113" s="29"/>
    </row>
    <row r="114" spans="5:21">
      <c r="I114" s="29"/>
    </row>
    <row r="115" spans="5:21">
      <c r="I115" s="29"/>
      <c r="K115" s="55"/>
    </row>
    <row r="118" spans="5:21" ht="24.75" customHeight="1">
      <c r="E118" s="104"/>
      <c r="F118" s="105"/>
      <c r="G118" s="105"/>
      <c r="H118" s="104"/>
      <c r="I118" s="106"/>
      <c r="J118" s="105"/>
      <c r="K118" s="109"/>
      <c r="L118" s="106"/>
      <c r="M118" s="276"/>
      <c r="N118" s="105"/>
      <c r="O118" s="105"/>
      <c r="P118" s="294"/>
      <c r="Q118" s="294"/>
      <c r="R118" s="294"/>
      <c r="S118" s="63"/>
    </row>
    <row r="122" spans="5:21" ht="24.95" customHeight="1">
      <c r="E122" s="104"/>
      <c r="F122" s="105"/>
      <c r="G122" s="105"/>
      <c r="H122" s="104"/>
      <c r="I122" s="106"/>
      <c r="J122" s="105"/>
      <c r="K122" s="109"/>
      <c r="L122" s="106"/>
      <c r="M122" s="276"/>
      <c r="N122" s="105"/>
      <c r="O122" s="105"/>
      <c r="P122" s="294"/>
      <c r="Q122" s="294"/>
      <c r="R122" s="294"/>
      <c r="S122" s="63"/>
    </row>
    <row r="123" spans="5:21">
      <c r="S123" s="63"/>
    </row>
    <row r="124" spans="5:21" ht="24.95" customHeight="1">
      <c r="E124" s="104"/>
      <c r="F124" s="105"/>
      <c r="G124" s="105"/>
      <c r="H124" s="104"/>
      <c r="I124" s="109"/>
      <c r="J124" s="105"/>
      <c r="K124" s="109"/>
      <c r="L124" s="106"/>
      <c r="M124" s="276"/>
      <c r="N124" s="105"/>
      <c r="O124" s="105"/>
      <c r="P124" s="294"/>
      <c r="Q124" s="294"/>
      <c r="R124" s="294"/>
      <c r="S124" s="63"/>
      <c r="U124" s="39"/>
    </row>
    <row r="133" spans="1:20" ht="24.95" customHeight="1">
      <c r="E133" s="104"/>
      <c r="F133" s="105"/>
      <c r="G133" s="105"/>
      <c r="H133" s="104"/>
      <c r="I133" s="106"/>
      <c r="J133" s="105"/>
      <c r="K133" s="109"/>
      <c r="L133" s="106"/>
      <c r="M133" s="276"/>
      <c r="N133" s="105"/>
      <c r="O133" s="105"/>
      <c r="P133" s="294"/>
      <c r="Q133" s="294"/>
      <c r="R133" s="294"/>
      <c r="S133" s="63"/>
      <c r="T133" s="39"/>
    </row>
    <row r="135" spans="1:20" ht="24.75" customHeight="1">
      <c r="E135" s="104"/>
      <c r="F135" s="105"/>
      <c r="G135" s="105"/>
      <c r="H135" s="104"/>
      <c r="I135" s="106"/>
      <c r="J135" s="105"/>
      <c r="K135" s="109"/>
      <c r="L135" s="106"/>
      <c r="M135" s="276"/>
      <c r="N135" s="105"/>
      <c r="O135" s="105"/>
      <c r="P135" s="294"/>
      <c r="Q135" s="294"/>
      <c r="R135" s="294"/>
      <c r="S135" s="63"/>
    </row>
    <row r="138" spans="1:20" ht="24.75" customHeight="1">
      <c r="A138" s="239"/>
      <c r="B138" s="240"/>
      <c r="C138" s="72"/>
      <c r="D138" s="72"/>
      <c r="E138" s="278"/>
      <c r="F138" s="279"/>
      <c r="G138" s="279"/>
      <c r="H138" s="278"/>
      <c r="I138" s="280"/>
      <c r="J138" s="279"/>
      <c r="K138" s="281"/>
      <c r="L138" s="280"/>
      <c r="M138" s="282"/>
      <c r="N138" s="279"/>
      <c r="O138" s="279"/>
      <c r="P138" s="295"/>
      <c r="Q138" s="295"/>
      <c r="R138" s="295"/>
      <c r="S138" s="63"/>
    </row>
    <row r="140" spans="1:20" ht="24.95" customHeight="1">
      <c r="E140" s="104"/>
      <c r="F140" s="105"/>
      <c r="G140" s="105"/>
      <c r="H140" s="104"/>
      <c r="I140" s="106"/>
      <c r="J140" s="105"/>
      <c r="K140" s="109"/>
      <c r="L140" s="106"/>
      <c r="M140" s="276"/>
      <c r="N140" s="105"/>
      <c r="O140" s="105"/>
      <c r="P140" s="294"/>
      <c r="Q140" s="294"/>
      <c r="R140" s="294"/>
      <c r="S140" s="63"/>
    </row>
  </sheetData>
  <mergeCells count="54">
    <mergeCell ref="C2:F2"/>
    <mergeCell ref="C3:E3"/>
    <mergeCell ref="P10:R10"/>
    <mergeCell ref="P13:R13"/>
    <mergeCell ref="P14:R14"/>
    <mergeCell ref="P16:R16"/>
    <mergeCell ref="P19:R19"/>
    <mergeCell ref="P20:R20"/>
    <mergeCell ref="P23:R23"/>
    <mergeCell ref="P24:R24"/>
    <mergeCell ref="P25:R25"/>
    <mergeCell ref="P27:R27"/>
    <mergeCell ref="P30:R30"/>
    <mergeCell ref="P33:R33"/>
    <mergeCell ref="P35:R35"/>
    <mergeCell ref="P36:R36"/>
    <mergeCell ref="P37:R37"/>
    <mergeCell ref="C40:E40"/>
    <mergeCell ref="P43:R43"/>
    <mergeCell ref="P44:R44"/>
    <mergeCell ref="P45:R45"/>
    <mergeCell ref="P46:R46"/>
    <mergeCell ref="P47:R47"/>
    <mergeCell ref="P48:R48"/>
    <mergeCell ref="P50:R50"/>
    <mergeCell ref="P51:R51"/>
    <mergeCell ref="P54:R54"/>
    <mergeCell ref="P55:R55"/>
    <mergeCell ref="P57:R57"/>
    <mergeCell ref="P59:R59"/>
    <mergeCell ref="P60:R60"/>
    <mergeCell ref="P61:R61"/>
    <mergeCell ref="P64:R64"/>
    <mergeCell ref="P65:R65"/>
    <mergeCell ref="C68:E68"/>
    <mergeCell ref="P71:R71"/>
    <mergeCell ref="P74:R74"/>
    <mergeCell ref="P77:R77"/>
    <mergeCell ref="P78:R78"/>
    <mergeCell ref="P79:R79"/>
    <mergeCell ref="P83:R83"/>
    <mergeCell ref="P86:R86"/>
    <mergeCell ref="P89:R89"/>
    <mergeCell ref="P90:R90"/>
    <mergeCell ref="K98:M98"/>
    <mergeCell ref="P133:R133"/>
    <mergeCell ref="P135:R135"/>
    <mergeCell ref="P138:R138"/>
    <mergeCell ref="P140:R140"/>
    <mergeCell ref="K99:M99"/>
    <mergeCell ref="P103:R103"/>
    <mergeCell ref="P118:R118"/>
    <mergeCell ref="P122:R122"/>
    <mergeCell ref="P124:R124"/>
  </mergeCells>
  <pageMargins left="0.55118110236220474" right="0" top="0.74803149606299213" bottom="0.74803149606299213" header="0.31496062992125984" footer="0.31496062992125984"/>
  <pageSetup paperSize="5" scale="55" fitToWidth="3" fitToHeight="3" orientation="landscape" r:id="rId1"/>
  <headerFooter>
    <oddFooter>&amp;CNomina Sindicato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D2:K32"/>
  <sheetViews>
    <sheetView zoomScale="90" zoomScaleNormal="90" workbookViewId="0">
      <selection activeCell="D1" sqref="D1:K26"/>
    </sheetView>
  </sheetViews>
  <sheetFormatPr baseColWidth="10" defaultColWidth="11" defaultRowHeight="15"/>
  <cols>
    <col min="2" max="2" width="2.5703125" customWidth="1"/>
    <col min="3" max="3" width="3.7109375" customWidth="1"/>
    <col min="4" max="4" width="28" customWidth="1"/>
    <col min="5" max="5" width="9.5703125" hidden="1" customWidth="1"/>
    <col min="6" max="6" width="6.5703125" customWidth="1"/>
    <col min="7" max="7" width="56.85546875" customWidth="1"/>
    <col min="8" max="8" width="25.5703125" customWidth="1"/>
    <col min="9" max="9" width="27" customWidth="1"/>
    <col min="10" max="10" width="36.85546875" customWidth="1"/>
  </cols>
  <sheetData>
    <row r="2" spans="4:11" ht="21">
      <c r="D2" s="309" t="s">
        <v>437</v>
      </c>
      <c r="E2" s="309"/>
      <c r="F2" s="309"/>
      <c r="G2" s="309"/>
      <c r="H2" s="309"/>
      <c r="I2" s="309"/>
      <c r="J2" s="309"/>
      <c r="K2" s="11"/>
    </row>
    <row r="3" spans="4:11" ht="21">
      <c r="D3" s="309" t="s">
        <v>438</v>
      </c>
      <c r="E3" s="309"/>
      <c r="F3" s="309"/>
      <c r="G3" s="309"/>
      <c r="H3" s="309"/>
      <c r="I3" s="309"/>
      <c r="J3" s="309"/>
      <c r="K3" s="11"/>
    </row>
    <row r="4" spans="4:11" ht="21">
      <c r="D4" s="309" t="s">
        <v>508</v>
      </c>
      <c r="E4" s="309"/>
      <c r="F4" s="309"/>
      <c r="G4" s="309"/>
      <c r="H4" s="309"/>
      <c r="I4" s="309"/>
      <c r="J4" s="309"/>
      <c r="K4" s="11"/>
    </row>
    <row r="5" spans="4:11" ht="21">
      <c r="D5" s="1"/>
      <c r="E5" s="1"/>
      <c r="F5" s="1"/>
      <c r="G5" s="1"/>
      <c r="H5" s="1"/>
      <c r="I5" s="1"/>
      <c r="J5" s="17"/>
      <c r="K5" s="11"/>
    </row>
    <row r="6" spans="4:11" ht="84">
      <c r="D6" s="2" t="s">
        <v>3</v>
      </c>
      <c r="E6" s="3" t="s">
        <v>440</v>
      </c>
      <c r="F6" s="3"/>
      <c r="G6" s="2" t="s">
        <v>441</v>
      </c>
      <c r="H6" s="2" t="s">
        <v>8</v>
      </c>
      <c r="I6" s="2" t="s">
        <v>9</v>
      </c>
      <c r="J6" s="2" t="s">
        <v>443</v>
      </c>
      <c r="K6" s="11"/>
    </row>
    <row r="7" spans="4:11" ht="21">
      <c r="D7" s="4"/>
      <c r="E7" s="5"/>
      <c r="F7" s="5"/>
      <c r="G7" s="4"/>
      <c r="H7" s="4"/>
      <c r="I7" s="4"/>
      <c r="J7" s="4"/>
      <c r="K7" s="11"/>
    </row>
    <row r="8" spans="4:11" ht="21">
      <c r="D8" s="4"/>
      <c r="E8" s="5"/>
      <c r="F8" s="5"/>
      <c r="G8" s="4"/>
      <c r="H8" s="4"/>
      <c r="I8" s="4"/>
      <c r="J8" s="4"/>
      <c r="K8" s="11"/>
    </row>
    <row r="9" spans="4:11" ht="21">
      <c r="D9" s="6"/>
      <c r="E9" s="6"/>
      <c r="F9" s="7"/>
      <c r="G9" s="6"/>
      <c r="H9" s="6"/>
      <c r="I9" s="6"/>
      <c r="J9" s="6"/>
      <c r="K9" s="11"/>
    </row>
    <row r="10" spans="4:11" ht="21">
      <c r="D10" s="8" t="s">
        <v>444</v>
      </c>
      <c r="E10" s="9">
        <v>40238</v>
      </c>
      <c r="F10" s="10">
        <v>1</v>
      </c>
      <c r="G10" s="11" t="s">
        <v>509</v>
      </c>
      <c r="H10" s="11"/>
      <c r="I10" s="12">
        <v>2625</v>
      </c>
      <c r="J10" s="15"/>
      <c r="K10" s="11"/>
    </row>
    <row r="11" spans="4:11" ht="21">
      <c r="D11" s="6"/>
      <c r="E11" s="6"/>
      <c r="F11" s="7"/>
      <c r="G11" s="6"/>
      <c r="H11" s="6"/>
      <c r="I11" s="6"/>
      <c r="J11" s="6"/>
      <c r="K11" s="11"/>
    </row>
    <row r="12" spans="4:11" ht="21">
      <c r="D12" s="8" t="s">
        <v>444</v>
      </c>
      <c r="E12" s="9">
        <v>40179</v>
      </c>
      <c r="F12" s="10">
        <v>2</v>
      </c>
      <c r="G12" s="11" t="s">
        <v>510</v>
      </c>
      <c r="H12" s="11"/>
      <c r="I12" s="12">
        <v>2625</v>
      </c>
      <c r="J12" s="15"/>
      <c r="K12" s="11"/>
    </row>
    <row r="13" spans="4:11" ht="21">
      <c r="D13" s="6"/>
      <c r="E13" s="6"/>
      <c r="F13" s="7"/>
      <c r="G13" s="6"/>
      <c r="H13" s="6"/>
      <c r="I13" s="6"/>
      <c r="J13" s="6"/>
      <c r="K13" s="11"/>
    </row>
    <row r="14" spans="4:11" ht="21">
      <c r="D14" s="8" t="s">
        <v>444</v>
      </c>
      <c r="E14" s="9">
        <v>40360</v>
      </c>
      <c r="F14" s="10">
        <v>3</v>
      </c>
      <c r="G14" s="11" t="s">
        <v>511</v>
      </c>
      <c r="H14" s="11"/>
      <c r="I14" s="12">
        <v>2625</v>
      </c>
      <c r="J14" s="15"/>
      <c r="K14" s="11"/>
    </row>
    <row r="15" spans="4:11" ht="21">
      <c r="D15" s="6"/>
      <c r="E15" s="6"/>
      <c r="F15" s="7"/>
      <c r="G15" s="6"/>
      <c r="H15" s="6"/>
      <c r="I15" s="6"/>
      <c r="J15" s="6"/>
      <c r="K15" s="11"/>
    </row>
    <row r="16" spans="4:11" ht="21">
      <c r="D16" s="8" t="s">
        <v>444</v>
      </c>
      <c r="E16" s="9"/>
      <c r="F16" s="10">
        <v>4</v>
      </c>
      <c r="G16" s="11" t="s">
        <v>512</v>
      </c>
      <c r="H16" s="11"/>
      <c r="I16" s="12">
        <v>2625</v>
      </c>
      <c r="J16" s="15"/>
      <c r="K16" s="11"/>
    </row>
    <row r="17" spans="4:11" ht="21">
      <c r="D17" s="6"/>
      <c r="E17" s="6"/>
      <c r="F17" s="7"/>
      <c r="G17" s="6"/>
      <c r="H17" s="6"/>
      <c r="I17" s="6"/>
      <c r="J17" s="6"/>
      <c r="K17" s="11"/>
    </row>
    <row r="18" spans="4:11" ht="21">
      <c r="D18" s="8"/>
      <c r="E18" s="9"/>
      <c r="F18" s="10"/>
      <c r="G18" s="11"/>
      <c r="H18" s="11"/>
      <c r="I18" s="13">
        <f>SUM(I10:I17)</f>
        <v>10500</v>
      </c>
      <c r="J18" s="11"/>
      <c r="K18" s="11"/>
    </row>
    <row r="19" spans="4:11" ht="21">
      <c r="D19" s="8"/>
      <c r="E19" s="11"/>
      <c r="F19" s="10"/>
      <c r="G19" s="11"/>
      <c r="H19" s="11"/>
      <c r="I19" s="14"/>
      <c r="J19" s="11"/>
      <c r="K19" s="11"/>
    </row>
    <row r="20" spans="4:11" ht="21">
      <c r="D20" s="11"/>
      <c r="E20" s="11"/>
      <c r="F20" s="10"/>
      <c r="G20" s="11"/>
      <c r="H20" s="11"/>
      <c r="I20" s="14"/>
      <c r="J20" s="11"/>
      <c r="K20" s="11"/>
    </row>
    <row r="21" spans="4:11" ht="21">
      <c r="D21" s="11"/>
      <c r="E21" s="11"/>
      <c r="F21" s="10"/>
      <c r="G21" s="11"/>
      <c r="H21" s="11"/>
      <c r="I21" s="14"/>
      <c r="J21" s="11"/>
      <c r="K21" s="11"/>
    </row>
    <row r="22" spans="4:11" ht="21">
      <c r="D22" s="11"/>
      <c r="E22" s="11"/>
      <c r="F22" s="10"/>
      <c r="G22" s="11"/>
      <c r="H22" s="11"/>
      <c r="I22" s="11"/>
      <c r="J22" s="11"/>
      <c r="K22" s="11"/>
    </row>
    <row r="23" spans="4:11" ht="21">
      <c r="D23" s="11"/>
      <c r="E23" s="11"/>
      <c r="F23" s="10"/>
      <c r="G23" s="15"/>
      <c r="H23" s="16"/>
      <c r="I23" s="15"/>
      <c r="J23" s="15"/>
      <c r="K23" s="15"/>
    </row>
    <row r="24" spans="4:11" ht="21">
      <c r="D24" s="11"/>
      <c r="E24" s="11"/>
      <c r="F24" s="10"/>
      <c r="G24" s="10" t="s">
        <v>108</v>
      </c>
      <c r="H24" s="10"/>
      <c r="I24" s="314" t="s">
        <v>473</v>
      </c>
      <c r="J24" s="314"/>
      <c r="K24" s="314"/>
    </row>
    <row r="25" spans="4:11" ht="21">
      <c r="D25" s="11"/>
      <c r="E25" s="11"/>
      <c r="F25" s="10"/>
      <c r="G25" s="10" t="s">
        <v>109</v>
      </c>
      <c r="H25" s="11"/>
      <c r="I25" s="315" t="s">
        <v>110</v>
      </c>
      <c r="J25" s="315"/>
      <c r="K25" s="315"/>
    </row>
    <row r="26" spans="4:11" ht="21">
      <c r="D26" s="11"/>
      <c r="E26" s="11"/>
      <c r="F26" s="10"/>
      <c r="G26" s="11"/>
      <c r="H26" s="11"/>
      <c r="I26" s="11"/>
      <c r="J26" s="11"/>
      <c r="K26" s="11"/>
    </row>
    <row r="27" spans="4:11" ht="21">
      <c r="D27" s="11"/>
      <c r="E27" s="11"/>
      <c r="F27" s="10"/>
      <c r="G27" s="11"/>
      <c r="H27" s="11"/>
      <c r="I27" s="19"/>
      <c r="J27" s="11"/>
      <c r="K27" s="11"/>
    </row>
    <row r="28" spans="4:11">
      <c r="F28" s="18"/>
    </row>
    <row r="29" spans="4:11">
      <c r="F29" s="18"/>
      <c r="I29" s="20"/>
    </row>
    <row r="30" spans="4:11">
      <c r="F30" s="18"/>
    </row>
    <row r="31" spans="4:11">
      <c r="F31" s="18"/>
    </row>
    <row r="32" spans="4:11">
      <c r="F32" s="18"/>
    </row>
  </sheetData>
  <mergeCells count="5">
    <mergeCell ref="D2:J2"/>
    <mergeCell ref="D3:J3"/>
    <mergeCell ref="D4:J4"/>
    <mergeCell ref="I24:K24"/>
    <mergeCell ref="I25:K25"/>
  </mergeCells>
  <printOptions horizontalCentered="1"/>
  <pageMargins left="0.23622047244094499" right="0.23622047244094499" top="0.74803149606299202" bottom="0.74803149606299202" header="0.31496062992126" footer="0.31496062992126"/>
  <pageSetup paperSize="5" scale="85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C3:J27"/>
  <sheetViews>
    <sheetView workbookViewId="0">
      <selection activeCell="K7" sqref="K7"/>
    </sheetView>
  </sheetViews>
  <sheetFormatPr baseColWidth="10" defaultColWidth="11" defaultRowHeight="15"/>
  <cols>
    <col min="3" max="3" width="25.85546875" customWidth="1"/>
    <col min="4" max="4" width="23.85546875" customWidth="1"/>
    <col min="6" max="6" width="43.5703125" customWidth="1"/>
    <col min="7" max="7" width="20.7109375" customWidth="1"/>
    <col min="8" max="8" width="18.42578125" customWidth="1"/>
    <col min="9" max="9" width="32.85546875" customWidth="1"/>
  </cols>
  <sheetData>
    <row r="3" spans="3:10" ht="21">
      <c r="C3" s="309" t="s">
        <v>437</v>
      </c>
      <c r="D3" s="309"/>
      <c r="E3" s="309"/>
      <c r="F3" s="309"/>
      <c r="G3" s="309"/>
      <c r="H3" s="309"/>
      <c r="I3" s="309"/>
      <c r="J3" s="11"/>
    </row>
    <row r="4" spans="3:10" ht="21">
      <c r="C4" s="309" t="s">
        <v>438</v>
      </c>
      <c r="D4" s="309"/>
      <c r="E4" s="309"/>
      <c r="F4" s="309"/>
      <c r="G4" s="309"/>
      <c r="H4" s="309"/>
      <c r="I4" s="309"/>
      <c r="J4" s="11"/>
    </row>
    <row r="5" spans="3:10" ht="21">
      <c r="C5" s="309" t="s">
        <v>513</v>
      </c>
      <c r="D5" s="309"/>
      <c r="E5" s="309"/>
      <c r="F5" s="309"/>
      <c r="G5" s="309"/>
      <c r="H5" s="309"/>
      <c r="I5" s="309"/>
      <c r="J5" s="11"/>
    </row>
    <row r="6" spans="3:10" ht="21">
      <c r="C6" s="1"/>
      <c r="D6" s="1"/>
      <c r="E6" s="1"/>
      <c r="F6" s="1"/>
      <c r="G6" s="1"/>
      <c r="H6" s="1"/>
      <c r="I6" s="17"/>
      <c r="J6" s="11"/>
    </row>
    <row r="7" spans="3:10" ht="42">
      <c r="C7" s="2" t="s">
        <v>3</v>
      </c>
      <c r="D7" s="3" t="s">
        <v>440</v>
      </c>
      <c r="E7" s="3"/>
      <c r="F7" s="2" t="s">
        <v>441</v>
      </c>
      <c r="G7" s="2" t="s">
        <v>8</v>
      </c>
      <c r="H7" s="2" t="s">
        <v>9</v>
      </c>
      <c r="I7" s="2" t="s">
        <v>443</v>
      </c>
      <c r="J7" s="11"/>
    </row>
    <row r="8" spans="3:10" ht="21">
      <c r="C8" s="4"/>
      <c r="D8" s="5"/>
      <c r="E8" s="5"/>
      <c r="F8" s="4"/>
      <c r="G8" s="4"/>
      <c r="H8" s="4"/>
      <c r="I8" s="4"/>
      <c r="J8" s="11"/>
    </row>
    <row r="9" spans="3:10" ht="21">
      <c r="C9" s="4"/>
      <c r="D9" s="5"/>
      <c r="E9" s="5"/>
      <c r="F9" s="4"/>
      <c r="G9" s="4"/>
      <c r="H9" s="4"/>
      <c r="I9" s="4"/>
      <c r="J9" s="11"/>
    </row>
    <row r="10" spans="3:10" ht="21">
      <c r="C10" s="6"/>
      <c r="D10" s="6"/>
      <c r="E10" s="7"/>
      <c r="F10" s="6"/>
      <c r="G10" s="6"/>
      <c r="H10" s="6"/>
      <c r="I10" s="6"/>
      <c r="J10" s="11"/>
    </row>
    <row r="11" spans="3:10" ht="21">
      <c r="C11" s="8" t="s">
        <v>444</v>
      </c>
      <c r="D11" s="9">
        <v>40238</v>
      </c>
      <c r="E11" s="10">
        <v>1</v>
      </c>
      <c r="F11" s="11" t="s">
        <v>509</v>
      </c>
      <c r="G11" s="11"/>
      <c r="H11" s="12">
        <v>2625</v>
      </c>
      <c r="I11" s="15"/>
      <c r="J11" s="11"/>
    </row>
    <row r="12" spans="3:10" ht="21">
      <c r="C12" s="6"/>
      <c r="D12" s="6"/>
      <c r="E12" s="7"/>
      <c r="F12" s="6"/>
      <c r="G12" s="6"/>
      <c r="H12" s="6"/>
      <c r="I12" s="6"/>
      <c r="J12" s="11"/>
    </row>
    <row r="13" spans="3:10" ht="21">
      <c r="C13" s="8" t="s">
        <v>444</v>
      </c>
      <c r="D13" s="9">
        <v>40179</v>
      </c>
      <c r="E13" s="10">
        <v>2</v>
      </c>
      <c r="F13" s="11" t="s">
        <v>510</v>
      </c>
      <c r="G13" s="11"/>
      <c r="H13" s="12">
        <v>2625</v>
      </c>
      <c r="I13" s="15"/>
      <c r="J13" s="11"/>
    </row>
    <row r="14" spans="3:10" ht="21">
      <c r="C14" s="6"/>
      <c r="D14" s="6"/>
      <c r="E14" s="7"/>
      <c r="F14" s="6"/>
      <c r="G14" s="6"/>
      <c r="H14" s="6"/>
      <c r="I14" s="6"/>
      <c r="J14" s="11"/>
    </row>
    <row r="15" spans="3:10" ht="21">
      <c r="C15" s="8" t="s">
        <v>444</v>
      </c>
      <c r="D15" s="9">
        <v>40360</v>
      </c>
      <c r="E15" s="10">
        <v>3</v>
      </c>
      <c r="F15" s="11" t="s">
        <v>511</v>
      </c>
      <c r="G15" s="11"/>
      <c r="H15" s="12">
        <v>2625</v>
      </c>
      <c r="I15" s="15"/>
      <c r="J15" s="11"/>
    </row>
    <row r="16" spans="3:10" ht="21">
      <c r="C16" s="6"/>
      <c r="D16" s="6"/>
      <c r="E16" s="7"/>
      <c r="F16" s="6"/>
      <c r="G16" s="6"/>
      <c r="H16" s="6"/>
      <c r="I16" s="6"/>
      <c r="J16" s="11"/>
    </row>
    <row r="17" spans="3:10" ht="21">
      <c r="C17" s="8" t="s">
        <v>444</v>
      </c>
      <c r="D17" s="9"/>
      <c r="E17" s="10">
        <v>4</v>
      </c>
      <c r="F17" s="11" t="s">
        <v>512</v>
      </c>
      <c r="G17" s="11"/>
      <c r="H17" s="12">
        <v>2625</v>
      </c>
      <c r="I17" s="15"/>
      <c r="J17" s="11"/>
    </row>
    <row r="18" spans="3:10" ht="21">
      <c r="C18" s="6"/>
      <c r="D18" s="6"/>
      <c r="E18" s="7"/>
      <c r="F18" s="6"/>
      <c r="G18" s="6"/>
      <c r="H18" s="6"/>
      <c r="I18" s="6"/>
      <c r="J18" s="11"/>
    </row>
    <row r="19" spans="3:10" ht="21">
      <c r="C19" s="8"/>
      <c r="D19" s="9"/>
      <c r="E19" s="10"/>
      <c r="F19" s="11"/>
      <c r="G19" s="11"/>
      <c r="H19" s="13">
        <f>SUM(H11:H18)</f>
        <v>10500</v>
      </c>
      <c r="I19" s="11"/>
      <c r="J19" s="11"/>
    </row>
    <row r="20" spans="3:10" ht="21">
      <c r="C20" s="8"/>
      <c r="D20" s="11"/>
      <c r="E20" s="10"/>
      <c r="F20" s="11"/>
      <c r="G20" s="11"/>
      <c r="H20" s="14"/>
      <c r="I20" s="11"/>
      <c r="J20" s="11"/>
    </row>
    <row r="21" spans="3:10" ht="21">
      <c r="C21" s="11"/>
      <c r="D21" s="11"/>
      <c r="E21" s="10"/>
      <c r="F21" s="11"/>
      <c r="G21" s="11"/>
      <c r="H21" s="14"/>
      <c r="I21" s="11"/>
      <c r="J21" s="11"/>
    </row>
    <row r="22" spans="3:10" ht="21">
      <c r="C22" s="11"/>
      <c r="D22" s="11"/>
      <c r="E22" s="10"/>
      <c r="F22" s="11"/>
      <c r="G22" s="11"/>
      <c r="H22" s="14"/>
      <c r="I22" s="11"/>
      <c r="J22" s="11"/>
    </row>
    <row r="23" spans="3:10" ht="21">
      <c r="C23" s="11"/>
      <c r="D23" s="11"/>
      <c r="E23" s="10"/>
      <c r="F23" s="11"/>
      <c r="G23" s="11"/>
      <c r="H23" s="11"/>
      <c r="I23" s="11"/>
      <c r="J23" s="11"/>
    </row>
    <row r="24" spans="3:10" ht="21">
      <c r="C24" s="11"/>
      <c r="D24" s="11"/>
      <c r="E24" s="10"/>
      <c r="F24" s="15"/>
      <c r="G24" s="16"/>
      <c r="H24" s="15"/>
      <c r="I24" s="15"/>
      <c r="J24" s="15"/>
    </row>
    <row r="25" spans="3:10" ht="21">
      <c r="C25" s="11"/>
      <c r="D25" s="11"/>
      <c r="E25" s="10"/>
      <c r="F25" s="10" t="s">
        <v>108</v>
      </c>
      <c r="G25" s="10"/>
      <c r="H25" s="314" t="s">
        <v>473</v>
      </c>
      <c r="I25" s="314"/>
      <c r="J25" s="314"/>
    </row>
    <row r="26" spans="3:10" ht="21">
      <c r="C26" s="11"/>
      <c r="D26" s="11"/>
      <c r="E26" s="10"/>
      <c r="F26" s="10" t="s">
        <v>109</v>
      </c>
      <c r="G26" s="11"/>
      <c r="H26" s="315" t="s">
        <v>110</v>
      </c>
      <c r="I26" s="315"/>
      <c r="J26" s="315"/>
    </row>
    <row r="27" spans="3:10" ht="21">
      <c r="C27" s="11"/>
      <c r="D27" s="11"/>
      <c r="E27" s="10"/>
      <c r="F27" s="11"/>
      <c r="G27" s="11"/>
      <c r="H27" s="11"/>
      <c r="I27" s="11"/>
      <c r="J27" s="11"/>
    </row>
  </sheetData>
  <mergeCells count="5">
    <mergeCell ref="C3:I3"/>
    <mergeCell ref="C4:I4"/>
    <mergeCell ref="C5:I5"/>
    <mergeCell ref="H25:J25"/>
    <mergeCell ref="H26:J2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/>
  </sheetPr>
  <dimension ref="A1:AB180"/>
  <sheetViews>
    <sheetView zoomScale="80" zoomScaleNormal="80" workbookViewId="0">
      <pane xSplit="4" ySplit="2" topLeftCell="E42" activePane="bottomRight" state="frozen"/>
      <selection pane="topRight"/>
      <selection pane="bottomLeft"/>
      <selection pane="bottomRight" activeCell="O25" sqref="O25"/>
    </sheetView>
  </sheetViews>
  <sheetFormatPr baseColWidth="10" defaultColWidth="9.140625" defaultRowHeight="15"/>
  <cols>
    <col min="1" max="1" width="7.140625" style="80" customWidth="1"/>
    <col min="2" max="2" width="4.85546875" style="29" customWidth="1"/>
    <col min="3" max="3" width="46.140625" customWidth="1"/>
    <col min="4" max="4" width="21" customWidth="1"/>
    <col min="5" max="5" width="19.7109375" customWidth="1"/>
    <col min="6" max="6" width="15.5703125" customWidth="1"/>
    <col min="7" max="7" width="14.85546875" customWidth="1"/>
    <col min="8" max="8" width="12.140625" customWidth="1"/>
    <col min="9" max="9" width="12.42578125" customWidth="1"/>
    <col min="10" max="10" width="12.7109375" customWidth="1"/>
    <col min="11" max="11" width="10.28515625" customWidth="1"/>
    <col min="12" max="12" width="12.42578125" customWidth="1"/>
    <col min="13" max="13" width="20.140625" customWidth="1"/>
    <col min="14" max="14" width="13.5703125" customWidth="1"/>
    <col min="15" max="15" width="13.28515625" customWidth="1"/>
    <col min="16" max="16" width="13.7109375" customWidth="1"/>
    <col min="17" max="17" width="20.5703125" customWidth="1"/>
    <col min="18" max="18" width="48.85546875" customWidth="1"/>
    <col min="19" max="19" width="13.7109375" customWidth="1"/>
    <col min="20" max="20" width="12" customWidth="1"/>
    <col min="21" max="22" width="3.28515625" customWidth="1"/>
    <col min="23" max="23" width="26.28515625" customWidth="1"/>
    <col min="24" max="24" width="8.7109375" customWidth="1"/>
    <col min="25" max="25" width="39" customWidth="1"/>
    <col min="26" max="26" width="14.140625" customWidth="1"/>
    <col min="27" max="27" width="12.28515625" customWidth="1"/>
    <col min="28" max="28" width="9.5703125" customWidth="1"/>
  </cols>
  <sheetData>
    <row r="1" spans="1:28" ht="20.25" customHeight="1">
      <c r="C1" s="202" t="s">
        <v>1</v>
      </c>
      <c r="D1" s="203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80"/>
    </row>
    <row r="2" spans="1:28" ht="21" customHeight="1">
      <c r="C2" s="88" t="s">
        <v>526</v>
      </c>
      <c r="D2" s="203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296" t="s">
        <v>527</v>
      </c>
      <c r="Q2" s="296"/>
    </row>
    <row r="3" spans="1:28" ht="30.75" customHeight="1">
      <c r="B3" s="29" t="s">
        <v>6</v>
      </c>
      <c r="C3" s="150" t="s">
        <v>7</v>
      </c>
      <c r="D3" s="150" t="s">
        <v>8</v>
      </c>
      <c r="E3" s="150" t="s">
        <v>9</v>
      </c>
      <c r="F3" s="150" t="s">
        <v>10</v>
      </c>
      <c r="G3" s="150" t="s">
        <v>14</v>
      </c>
      <c r="H3" s="150" t="s">
        <v>17</v>
      </c>
      <c r="I3" s="150" t="s">
        <v>111</v>
      </c>
      <c r="J3" s="150" t="s">
        <v>11</v>
      </c>
      <c r="K3" s="150" t="s">
        <v>112</v>
      </c>
      <c r="L3" s="150" t="s">
        <v>113</v>
      </c>
      <c r="M3" s="150" t="s">
        <v>114</v>
      </c>
      <c r="N3" s="210" t="s">
        <v>15</v>
      </c>
      <c r="O3" s="229" t="s">
        <v>341</v>
      </c>
      <c r="P3" s="150" t="s">
        <v>115</v>
      </c>
      <c r="Q3" s="150" t="s">
        <v>18</v>
      </c>
    </row>
    <row r="4" spans="1:28">
      <c r="C4" s="154" t="s">
        <v>3</v>
      </c>
      <c r="D4" s="154"/>
      <c r="E4" s="154"/>
      <c r="F4" s="154"/>
      <c r="G4" s="154"/>
      <c r="H4" s="154"/>
      <c r="I4" s="154"/>
      <c r="J4" s="154"/>
      <c r="K4" s="154"/>
      <c r="L4" s="154"/>
      <c r="M4" s="154"/>
      <c r="N4" s="154"/>
      <c r="O4" s="154"/>
      <c r="P4" s="154"/>
      <c r="Q4" s="154"/>
    </row>
    <row r="5" spans="1:28">
      <c r="C5" s="154" t="s">
        <v>116</v>
      </c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</row>
    <row r="6" spans="1:28" ht="45" customHeight="1">
      <c r="A6" s="80" t="s">
        <v>20</v>
      </c>
      <c r="B6" s="29">
        <v>1</v>
      </c>
      <c r="C6" s="36" t="s">
        <v>117</v>
      </c>
      <c r="D6" s="36" t="s">
        <v>118</v>
      </c>
      <c r="E6" s="204">
        <v>13721.4</v>
      </c>
      <c r="F6" s="205">
        <v>0</v>
      </c>
      <c r="G6" s="20">
        <f>(E6-(LOOKUP(E6,ISR!$A$6:$B$17,ISR!$A$6:$A$17)))*(LOOKUP(E6,ISR!$A$6:$B$17,ISR!$D$6:$D$17))+(LOOKUP(E6,ISR!$A$6:$B$17,ISR!$C$6:$C$17))</f>
        <v>2107.829064</v>
      </c>
      <c r="H6" s="205">
        <v>252.76</v>
      </c>
      <c r="I6" s="205">
        <v>0</v>
      </c>
      <c r="J6" s="205">
        <v>0</v>
      </c>
      <c r="K6" s="205">
        <v>0</v>
      </c>
      <c r="L6" s="205">
        <v>0</v>
      </c>
      <c r="M6" s="205"/>
      <c r="N6" s="205"/>
      <c r="O6" s="204">
        <v>0</v>
      </c>
      <c r="P6" s="205">
        <v>0</v>
      </c>
      <c r="Q6" s="214">
        <f>E6+F6-G6-H6-I6+J6+K6+L6+M6-P6-O6-N6</f>
        <v>11360.810936</v>
      </c>
      <c r="R6" s="113"/>
      <c r="S6" s="113"/>
      <c r="T6" s="113"/>
      <c r="U6" s="113"/>
      <c r="V6" s="20"/>
      <c r="W6" s="20"/>
      <c r="X6" s="20"/>
      <c r="Y6" s="20"/>
      <c r="Z6" s="20"/>
      <c r="AA6" s="20"/>
      <c r="AB6" s="20"/>
    </row>
    <row r="7" spans="1:28" ht="57.75" customHeight="1">
      <c r="A7" s="80" t="s">
        <v>20</v>
      </c>
      <c r="B7" s="29">
        <v>2</v>
      </c>
      <c r="C7" s="36" t="s">
        <v>119</v>
      </c>
      <c r="D7" s="36" t="s">
        <v>120</v>
      </c>
      <c r="E7" s="204">
        <v>9375.9120000000003</v>
      </c>
      <c r="F7" s="205">
        <v>0</v>
      </c>
      <c r="G7" s="20">
        <f>(E7-(LOOKUP(E7,ISR!$A$6:$B$17,ISR!$A$6:$A$17)))*(LOOKUP(E7,ISR!$A$6:$B$17,ISR!$D$6:$D$17))+(LOOKUP(E7,ISR!$A$6:$B$17,ISR!$C$6:$C$17))</f>
        <v>1179.6328272000001</v>
      </c>
      <c r="H7" s="205">
        <v>212.54</v>
      </c>
      <c r="I7" s="205">
        <v>0</v>
      </c>
      <c r="J7" s="205">
        <v>0</v>
      </c>
      <c r="K7" s="205">
        <v>0</v>
      </c>
      <c r="L7" s="205">
        <v>0</v>
      </c>
      <c r="M7" s="205"/>
      <c r="N7" s="205"/>
      <c r="O7" s="204">
        <v>0</v>
      </c>
      <c r="P7" s="205">
        <v>0</v>
      </c>
      <c r="Q7" s="214">
        <f>E7+F7-G7-H7-I7+J7+K7+L7+M7-P7-O7-N7</f>
        <v>7983.7391728000011</v>
      </c>
      <c r="R7" s="113"/>
      <c r="S7" s="113"/>
      <c r="T7" s="113"/>
      <c r="U7" s="113"/>
      <c r="X7" s="20"/>
      <c r="Y7" s="20"/>
      <c r="Z7" s="20"/>
      <c r="AA7" s="20"/>
      <c r="AB7" s="20"/>
    </row>
    <row r="8" spans="1:28" ht="55.5" customHeight="1">
      <c r="A8" s="80" t="s">
        <v>20</v>
      </c>
      <c r="B8" s="29">
        <v>3</v>
      </c>
      <c r="C8" s="36" t="s">
        <v>121</v>
      </c>
      <c r="D8" s="36" t="s">
        <v>120</v>
      </c>
      <c r="E8" s="204">
        <v>9375.9120000000003</v>
      </c>
      <c r="F8" s="205">
        <v>0</v>
      </c>
      <c r="G8" s="20">
        <f>(E8-(LOOKUP(E8,ISR!$A$6:$B$17,ISR!$A$6:$A$17)))*(LOOKUP(E8,ISR!$A$6:$B$17,ISR!$D$6:$D$17))+(LOOKUP(E8,ISR!$A$6:$B$17,ISR!$C$6:$C$17))</f>
        <v>1179.6328272000001</v>
      </c>
      <c r="H8" s="205">
        <v>212.54</v>
      </c>
      <c r="I8" s="205">
        <v>0</v>
      </c>
      <c r="J8" s="205">
        <v>0</v>
      </c>
      <c r="K8" s="205">
        <v>0</v>
      </c>
      <c r="L8" s="205">
        <v>0</v>
      </c>
      <c r="M8" s="205"/>
      <c r="N8" s="205"/>
      <c r="O8" s="204">
        <v>0</v>
      </c>
      <c r="P8" s="205">
        <v>0</v>
      </c>
      <c r="Q8" s="214">
        <f>E8+F8-G8-H8-I8+J8+K8+L8+M8-P8-O8-N8</f>
        <v>7983.7391728000011</v>
      </c>
      <c r="R8" s="113"/>
      <c r="S8" s="113"/>
      <c r="T8" s="113"/>
      <c r="U8" s="113"/>
      <c r="X8" s="20"/>
      <c r="Y8" s="20"/>
      <c r="Z8" s="20"/>
      <c r="AA8" s="20"/>
      <c r="AB8" s="20"/>
    </row>
    <row r="9" spans="1:28" ht="57" customHeight="1">
      <c r="A9" s="80" t="s">
        <v>20</v>
      </c>
      <c r="B9" s="29">
        <v>4</v>
      </c>
      <c r="C9" s="36" t="s">
        <v>122</v>
      </c>
      <c r="D9" s="36" t="s">
        <v>123</v>
      </c>
      <c r="E9" s="204">
        <v>6350.4</v>
      </c>
      <c r="F9" s="205">
        <v>0</v>
      </c>
      <c r="G9" s="20">
        <f>(E9-(LOOKUP(E9,ISR!$A$6:$B$17,ISR!$A$6:$A$17)))*(LOOKUP(E9,ISR!$A$6:$B$17,ISR!$D$6:$D$17))+(LOOKUP(E9,ISR!$A$6:$B$17,ISR!$C$6:$C$17))</f>
        <v>578.54239999999993</v>
      </c>
      <c r="H9" s="205">
        <v>79.2</v>
      </c>
      <c r="I9" s="205">
        <v>0</v>
      </c>
      <c r="J9" s="205">
        <v>0</v>
      </c>
      <c r="K9" s="205">
        <v>0</v>
      </c>
      <c r="L9" s="205">
        <v>0</v>
      </c>
      <c r="M9" s="205"/>
      <c r="N9" s="205"/>
      <c r="O9" s="204">
        <v>0</v>
      </c>
      <c r="P9" s="205">
        <v>0</v>
      </c>
      <c r="Q9" s="214">
        <f>E9+F9-G9-H9-I9+J9+K9+L9+M9-P9-O9-N9</f>
        <v>5692.6575999999995</v>
      </c>
      <c r="R9" s="113"/>
      <c r="S9" s="113"/>
      <c r="T9" s="113"/>
      <c r="U9" s="113"/>
      <c r="W9" s="20"/>
      <c r="X9" s="20"/>
      <c r="Y9" s="20"/>
      <c r="Z9" s="20"/>
      <c r="AA9" s="20"/>
      <c r="AB9" s="20"/>
    </row>
    <row r="10" spans="1:28" ht="56.25" customHeight="1">
      <c r="A10" s="80" t="s">
        <v>20</v>
      </c>
      <c r="B10" s="29">
        <v>5</v>
      </c>
      <c r="C10" s="36" t="s">
        <v>124</v>
      </c>
      <c r="D10" s="36" t="s">
        <v>123</v>
      </c>
      <c r="E10" s="204">
        <v>6350.4</v>
      </c>
      <c r="F10" s="205">
        <v>0</v>
      </c>
      <c r="G10" s="20">
        <f>(E10-(LOOKUP(E10,ISR!$A$6:$B$17,ISR!$A$6:$A$17)))*(LOOKUP(E10,ISR!$A$6:$B$17,ISR!$D$6:$D$17))+(LOOKUP(E10,ISR!$A$6:$B$17,ISR!$C$6:$C$17))</f>
        <v>578.54239999999993</v>
      </c>
      <c r="H10" s="205">
        <v>79.2</v>
      </c>
      <c r="I10" s="205">
        <v>0</v>
      </c>
      <c r="J10" s="205">
        <v>0</v>
      </c>
      <c r="K10" s="205">
        <v>0</v>
      </c>
      <c r="L10" s="205">
        <v>0</v>
      </c>
      <c r="M10" s="205"/>
      <c r="N10" s="205">
        <v>0</v>
      </c>
      <c r="O10" s="204"/>
      <c r="P10" s="205">
        <v>0</v>
      </c>
      <c r="Q10" s="214">
        <f>E10+F10-G10-H10-I10+J10+K10+L10+M10-P10-O10-N10</f>
        <v>5692.6575999999995</v>
      </c>
      <c r="R10" s="113"/>
      <c r="S10" s="113"/>
      <c r="T10" s="113"/>
      <c r="U10" s="113"/>
      <c r="W10" s="20"/>
      <c r="X10" s="20"/>
      <c r="Y10" s="20"/>
      <c r="Z10" s="20"/>
      <c r="AA10" s="20"/>
      <c r="AB10" s="20"/>
    </row>
    <row r="11" spans="1:28" ht="53.25" customHeight="1">
      <c r="A11" s="80" t="s">
        <v>20</v>
      </c>
      <c r="B11" s="29">
        <v>6</v>
      </c>
      <c r="C11" s="36" t="s">
        <v>125</v>
      </c>
      <c r="D11" s="36" t="s">
        <v>123</v>
      </c>
      <c r="E11" s="204">
        <v>6350.4</v>
      </c>
      <c r="F11" s="205">
        <v>0</v>
      </c>
      <c r="G11" s="20">
        <f>(E11-(LOOKUP(E11,ISR!$A$6:$B$17,ISR!$A$6:$A$17)))*(LOOKUP(E11,ISR!$A$6:$B$17,ISR!$D$6:$D$17))+(LOOKUP(E11,ISR!$A$6:$B$17,ISR!$C$6:$C$17))</f>
        <v>578.54239999999993</v>
      </c>
      <c r="H11" s="205">
        <v>79.2</v>
      </c>
      <c r="I11" s="205">
        <v>0</v>
      </c>
      <c r="J11" s="205">
        <v>0</v>
      </c>
      <c r="K11" s="205">
        <v>0</v>
      </c>
      <c r="L11" s="205">
        <v>0</v>
      </c>
      <c r="M11" s="205"/>
      <c r="N11" s="205"/>
      <c r="O11" s="204">
        <v>0</v>
      </c>
      <c r="P11" s="205">
        <v>0</v>
      </c>
      <c r="Q11" s="214">
        <f t="shared" ref="Q11:Q12" si="0">E11+F11-G11-H11-I11+J11+K11+L11+M11-P11-O11-N11</f>
        <v>5692.6575999999995</v>
      </c>
      <c r="R11" s="113"/>
      <c r="S11" s="113"/>
      <c r="T11" s="113"/>
      <c r="U11" s="113"/>
      <c r="W11" s="20"/>
      <c r="X11" s="20"/>
      <c r="Y11" s="20"/>
      <c r="Z11" s="20"/>
      <c r="AA11" s="20"/>
      <c r="AB11" s="20"/>
    </row>
    <row r="12" spans="1:28" ht="51.75" customHeight="1">
      <c r="A12" s="80" t="s">
        <v>20</v>
      </c>
      <c r="B12" s="29">
        <v>7</v>
      </c>
      <c r="C12" s="36" t="s">
        <v>126</v>
      </c>
      <c r="D12" s="36" t="s">
        <v>123</v>
      </c>
      <c r="E12" s="204">
        <v>6350.4</v>
      </c>
      <c r="F12" s="205">
        <v>0</v>
      </c>
      <c r="G12" s="20">
        <f>(E12-(LOOKUP(E12,ISR!$A$6:$B$17,ISR!$A$6:$A$17)))*(LOOKUP(E12,ISR!$A$6:$B$17,ISR!$D$6:$D$17))+(LOOKUP(E12,ISR!$A$6:$B$17,ISR!$C$6:$C$17))</f>
        <v>578.54239999999993</v>
      </c>
      <c r="H12" s="205">
        <v>79.2</v>
      </c>
      <c r="I12" s="205">
        <v>0</v>
      </c>
      <c r="J12" s="205">
        <v>0</v>
      </c>
      <c r="K12" s="205">
        <v>0</v>
      </c>
      <c r="L12" s="205">
        <v>0</v>
      </c>
      <c r="M12" s="205"/>
      <c r="N12" s="205"/>
      <c r="O12" s="204">
        <v>0</v>
      </c>
      <c r="P12" s="205">
        <v>0</v>
      </c>
      <c r="Q12" s="214">
        <f t="shared" si="0"/>
        <v>5692.6575999999995</v>
      </c>
      <c r="R12" s="113"/>
      <c r="S12" s="113"/>
      <c r="T12" s="113"/>
      <c r="U12" s="113"/>
      <c r="V12" s="36"/>
      <c r="W12" s="20"/>
      <c r="X12" s="20"/>
      <c r="Y12" s="20"/>
      <c r="Z12" s="20"/>
      <c r="AA12" s="20"/>
      <c r="AB12" s="20"/>
    </row>
    <row r="13" spans="1:28" ht="45" customHeight="1">
      <c r="A13" s="17" t="s">
        <v>209</v>
      </c>
      <c r="B13" s="29">
        <v>8</v>
      </c>
      <c r="C13" s="289" t="s">
        <v>515</v>
      </c>
      <c r="D13" s="36" t="s">
        <v>123</v>
      </c>
      <c r="E13" s="204">
        <f>6350.4</f>
        <v>6350.4</v>
      </c>
      <c r="F13" s="205">
        <v>0</v>
      </c>
      <c r="G13" s="20">
        <f>(E13-(LOOKUP(E13,ISR!$A$6:$B$17,ISR!$A$6:$A$17)))*(LOOKUP(E13,ISR!$A$6:$B$17,ISR!$D$6:$D$17))+(LOOKUP(E13,ISR!$A$6:$B$17,ISR!$C$6:$C$17))</f>
        <v>578.54239999999993</v>
      </c>
      <c r="H13" s="205">
        <v>79.2</v>
      </c>
      <c r="I13" s="205">
        <v>0</v>
      </c>
      <c r="J13" s="205">
        <v>0</v>
      </c>
      <c r="K13" s="205">
        <v>0</v>
      </c>
      <c r="L13" s="205">
        <v>0</v>
      </c>
      <c r="M13" s="205"/>
      <c r="N13" s="205"/>
      <c r="O13" s="204">
        <v>0</v>
      </c>
      <c r="P13" s="205">
        <v>0</v>
      </c>
      <c r="Q13" s="214">
        <f>E13+F13-G13-H13-I13+J13+K13+L13+M13-P13-O13-N13</f>
        <v>5692.6575999999995</v>
      </c>
      <c r="R13" s="119"/>
      <c r="S13" s="18"/>
      <c r="T13" s="18"/>
      <c r="U13" s="18"/>
      <c r="W13" s="97"/>
      <c r="X13" s="97"/>
      <c r="Y13" s="97"/>
      <c r="Z13" s="97"/>
      <c r="AA13" s="97"/>
      <c r="AB13" s="97"/>
    </row>
    <row r="14" spans="1:28" ht="30" customHeight="1">
      <c r="C14" s="202" t="s">
        <v>1</v>
      </c>
      <c r="D14" s="203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18"/>
      <c r="S14" s="18"/>
      <c r="T14" s="18"/>
      <c r="U14" s="18"/>
      <c r="W14" s="20"/>
      <c r="X14" s="20"/>
      <c r="Y14" s="20"/>
      <c r="Z14" s="20"/>
      <c r="AA14" s="20"/>
      <c r="AB14" s="20"/>
    </row>
    <row r="15" spans="1:28" ht="28.5" customHeight="1">
      <c r="C15" s="88" t="s">
        <v>526</v>
      </c>
      <c r="D15" s="203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296" t="s">
        <v>527</v>
      </c>
      <c r="R15" s="296"/>
      <c r="S15" s="18"/>
      <c r="T15" s="18"/>
      <c r="U15" s="18"/>
      <c r="W15" s="20"/>
      <c r="X15" s="20"/>
      <c r="Y15" s="20"/>
      <c r="Z15" s="20"/>
      <c r="AA15" s="20"/>
      <c r="AB15" s="20"/>
    </row>
    <row r="16" spans="1:28" ht="30" customHeight="1">
      <c r="C16" s="150" t="s">
        <v>7</v>
      </c>
      <c r="D16" s="150" t="s">
        <v>8</v>
      </c>
      <c r="E16" s="150" t="s">
        <v>9</v>
      </c>
      <c r="F16" s="150" t="s">
        <v>10</v>
      </c>
      <c r="G16" s="150" t="s">
        <v>14</v>
      </c>
      <c r="H16" s="150" t="s">
        <v>17</v>
      </c>
      <c r="I16" s="150" t="s">
        <v>111</v>
      </c>
      <c r="J16" s="150" t="s">
        <v>11</v>
      </c>
      <c r="K16" s="150" t="s">
        <v>112</v>
      </c>
      <c r="L16" s="150" t="s">
        <v>113</v>
      </c>
      <c r="M16" s="150" t="s">
        <v>114</v>
      </c>
      <c r="N16" s="211" t="s">
        <v>15</v>
      </c>
      <c r="O16" s="229" t="s">
        <v>341</v>
      </c>
      <c r="P16" s="150" t="s">
        <v>115</v>
      </c>
      <c r="Q16" s="150" t="s">
        <v>18</v>
      </c>
      <c r="R16" s="18"/>
      <c r="S16" s="18"/>
      <c r="T16" s="18"/>
      <c r="U16" s="18"/>
      <c r="W16" s="20"/>
      <c r="X16" s="20"/>
      <c r="Y16" s="20"/>
      <c r="Z16" s="20"/>
      <c r="AA16" s="20"/>
      <c r="AB16" s="20"/>
    </row>
    <row r="17" spans="1:28" ht="60" customHeight="1">
      <c r="A17" s="80" t="s">
        <v>20</v>
      </c>
      <c r="B17" s="29">
        <v>9</v>
      </c>
      <c r="C17" s="36" t="s">
        <v>127</v>
      </c>
      <c r="D17" s="36" t="s">
        <v>123</v>
      </c>
      <c r="E17" s="204">
        <v>6350.4</v>
      </c>
      <c r="F17" s="205">
        <v>0</v>
      </c>
      <c r="G17" s="20">
        <f>(E17-(LOOKUP(E17,ISR!$A$6:$B$17,ISR!$A$6:$A$17)))*(LOOKUP(E17,ISR!$A$6:$B$17,ISR!$D$6:$D$17))+(LOOKUP(E17,ISR!$A$6:$B$17,ISR!$C$6:$C$17))</f>
        <v>578.54239999999993</v>
      </c>
      <c r="H17" s="205">
        <v>79.2</v>
      </c>
      <c r="I17" s="205">
        <v>0</v>
      </c>
      <c r="J17" s="205">
        <v>0</v>
      </c>
      <c r="K17" s="205">
        <v>0</v>
      </c>
      <c r="L17" s="205">
        <v>0</v>
      </c>
      <c r="M17" s="205"/>
      <c r="N17" s="205">
        <v>0</v>
      </c>
      <c r="O17" s="204">
        <v>0</v>
      </c>
      <c r="P17" s="205">
        <v>0</v>
      </c>
      <c r="Q17" s="214">
        <f t="shared" ref="Q17:Q22" si="1">E17+F17-G17-H17-I17+J17+K17+L17+M17-P17-O17-N17</f>
        <v>5692.6575999999995</v>
      </c>
      <c r="R17" s="119"/>
      <c r="S17" s="119"/>
      <c r="T17" s="119"/>
      <c r="U17" s="119"/>
      <c r="W17" s="20"/>
      <c r="X17" s="84"/>
      <c r="Y17" s="20"/>
      <c r="Z17" s="20"/>
      <c r="AA17" s="39"/>
    </row>
    <row r="18" spans="1:28" ht="62.25" customHeight="1">
      <c r="A18" s="80" t="s">
        <v>20</v>
      </c>
      <c r="B18" s="29">
        <v>10</v>
      </c>
      <c r="C18" s="36" t="s">
        <v>128</v>
      </c>
      <c r="D18" s="36" t="s">
        <v>123</v>
      </c>
      <c r="E18" s="204">
        <v>6350.4</v>
      </c>
      <c r="F18" s="205">
        <v>0</v>
      </c>
      <c r="G18" s="20">
        <f>(E18-(LOOKUP(E18,ISR!$A$6:$B$17,ISR!$A$6:$A$17)))*(LOOKUP(E18,ISR!$A$6:$B$17,ISR!$D$6:$D$17))+(LOOKUP(E18,ISR!$A$6:$B$17,ISR!$C$6:$C$17))</f>
        <v>578.54239999999993</v>
      </c>
      <c r="H18" s="205">
        <v>79.2</v>
      </c>
      <c r="I18" s="205">
        <v>0</v>
      </c>
      <c r="J18" s="205">
        <v>0</v>
      </c>
      <c r="K18" s="205">
        <v>0</v>
      </c>
      <c r="L18" s="205">
        <v>0</v>
      </c>
      <c r="M18" s="205"/>
      <c r="N18" s="205"/>
      <c r="O18" s="204">
        <v>0</v>
      </c>
      <c r="P18" s="205">
        <v>0</v>
      </c>
      <c r="Q18" s="214">
        <f t="shared" si="1"/>
        <v>5692.6575999999995</v>
      </c>
      <c r="R18" s="119"/>
      <c r="S18" s="119"/>
      <c r="T18" s="119"/>
      <c r="U18" s="119"/>
      <c r="W18" s="215"/>
      <c r="X18" s="20"/>
      <c r="Y18" s="20"/>
      <c r="Z18" s="20"/>
    </row>
    <row r="19" spans="1:28" ht="63.75" customHeight="1">
      <c r="A19" s="80" t="s">
        <v>20</v>
      </c>
      <c r="B19" s="29">
        <v>11</v>
      </c>
      <c r="C19" s="36" t="s">
        <v>129</v>
      </c>
      <c r="D19" s="36" t="s">
        <v>123</v>
      </c>
      <c r="E19" s="204">
        <v>6350.4</v>
      </c>
      <c r="F19" s="205">
        <v>0</v>
      </c>
      <c r="G19" s="20">
        <f>(E19-(LOOKUP(E19,ISR!$A$6:$B$17,ISR!$A$6:$A$17)))*(LOOKUP(E19,ISR!$A$6:$B$17,ISR!$D$6:$D$17))+(LOOKUP(E19,ISR!$A$6:$B$17,ISR!$C$6:$C$17))</f>
        <v>578.54239999999993</v>
      </c>
      <c r="H19" s="205">
        <v>79.2</v>
      </c>
      <c r="I19" s="205">
        <v>0</v>
      </c>
      <c r="J19" s="205">
        <v>0</v>
      </c>
      <c r="K19" s="205">
        <v>0</v>
      </c>
      <c r="L19" s="205">
        <v>0</v>
      </c>
      <c r="M19" s="205"/>
      <c r="N19" s="205"/>
      <c r="O19" s="204">
        <v>0</v>
      </c>
      <c r="P19" s="205">
        <v>0</v>
      </c>
      <c r="Q19" s="214">
        <f t="shared" si="1"/>
        <v>5692.6575999999995</v>
      </c>
      <c r="R19" s="119"/>
      <c r="S19" s="18"/>
      <c r="T19" s="18"/>
      <c r="U19" s="18"/>
      <c r="V19" s="216"/>
      <c r="W19" s="217"/>
      <c r="X19" s="20"/>
      <c r="Y19" s="36"/>
      <c r="Z19" s="20"/>
      <c r="AA19" s="20"/>
      <c r="AB19" s="20"/>
    </row>
    <row r="20" spans="1:28" ht="60.75" customHeight="1">
      <c r="A20" s="80" t="s">
        <v>20</v>
      </c>
      <c r="B20" s="29">
        <v>12</v>
      </c>
      <c r="C20" s="36" t="s">
        <v>130</v>
      </c>
      <c r="D20" s="36" t="s">
        <v>123</v>
      </c>
      <c r="E20" s="204">
        <v>6350.4</v>
      </c>
      <c r="F20" s="205">
        <v>0</v>
      </c>
      <c r="G20" s="20">
        <f>(E20-(LOOKUP(E20,ISR!$A$6:$B$17,ISR!$A$6:$A$17)))*(LOOKUP(E20,ISR!$A$6:$B$17,ISR!$D$6:$D$17))+(LOOKUP(E20,ISR!$A$6:$B$17,ISR!$C$6:$C$17))</f>
        <v>578.54239999999993</v>
      </c>
      <c r="H20" s="205">
        <v>79.2</v>
      </c>
      <c r="I20" s="205">
        <v>0</v>
      </c>
      <c r="J20" s="205">
        <v>0</v>
      </c>
      <c r="K20" s="205">
        <v>0</v>
      </c>
      <c r="L20" s="205">
        <v>0</v>
      </c>
      <c r="M20" s="205"/>
      <c r="N20" s="205"/>
      <c r="O20" s="204">
        <v>0</v>
      </c>
      <c r="P20" s="205">
        <v>0</v>
      </c>
      <c r="Q20" s="214">
        <f t="shared" si="1"/>
        <v>5692.6575999999995</v>
      </c>
      <c r="R20" s="119"/>
      <c r="S20" s="18"/>
      <c r="T20" s="18"/>
      <c r="U20" s="18"/>
      <c r="V20" s="216"/>
      <c r="W20" s="217"/>
      <c r="X20" s="20"/>
      <c r="Y20" s="36"/>
      <c r="Z20" s="20"/>
      <c r="AA20" s="20"/>
      <c r="AB20" s="20"/>
    </row>
    <row r="21" spans="1:28" ht="76.5" customHeight="1">
      <c r="A21" s="80" t="s">
        <v>20</v>
      </c>
      <c r="B21" s="29">
        <v>13</v>
      </c>
      <c r="C21" s="36" t="s">
        <v>131</v>
      </c>
      <c r="D21" s="36" t="s">
        <v>123</v>
      </c>
      <c r="E21" s="204">
        <v>6350.4</v>
      </c>
      <c r="F21" s="205">
        <v>0</v>
      </c>
      <c r="G21" s="20">
        <f>(E21-(LOOKUP(E21,ISR!$A$6:$B$17,ISR!$A$6:$A$17)))*(LOOKUP(E21,ISR!$A$6:$B$17,ISR!$D$6:$D$17))+(LOOKUP(E21,ISR!$A$6:$B$17,ISR!$C$6:$C$17))</f>
        <v>578.54239999999993</v>
      </c>
      <c r="H21" s="205">
        <v>79.2</v>
      </c>
      <c r="I21" s="205">
        <v>0</v>
      </c>
      <c r="J21" s="205">
        <v>0</v>
      </c>
      <c r="K21" s="205">
        <v>0</v>
      </c>
      <c r="L21" s="205">
        <v>0</v>
      </c>
      <c r="M21" s="205"/>
      <c r="N21" s="205"/>
      <c r="O21" s="204">
        <v>0</v>
      </c>
      <c r="P21" s="205">
        <v>0</v>
      </c>
      <c r="Q21" s="214">
        <f t="shared" si="1"/>
        <v>5692.6575999999995</v>
      </c>
      <c r="R21" s="119"/>
      <c r="S21" s="119"/>
      <c r="T21" s="119"/>
      <c r="U21" s="119"/>
      <c r="V21" s="216"/>
      <c r="W21" s="36" t="s">
        <v>132</v>
      </c>
      <c r="X21" s="20"/>
      <c r="Y21" s="36"/>
      <c r="Z21" s="20"/>
      <c r="AA21" s="20"/>
      <c r="AB21" s="20"/>
    </row>
    <row r="22" spans="1:28" ht="73.5" customHeight="1">
      <c r="A22" s="80" t="s">
        <v>20</v>
      </c>
      <c r="B22" s="29">
        <v>14</v>
      </c>
      <c r="C22" s="36" t="s">
        <v>133</v>
      </c>
      <c r="D22" s="36" t="s">
        <v>123</v>
      </c>
      <c r="E22" s="204">
        <v>6350.4</v>
      </c>
      <c r="F22" s="205">
        <v>0</v>
      </c>
      <c r="G22" s="20">
        <f>(E22-(LOOKUP(E22,ISR!$A$6:$B$17,ISR!$A$6:$A$17)))*(LOOKUP(E22,ISR!$A$6:$B$17,ISR!$D$6:$D$17))+(LOOKUP(E22,ISR!$A$6:$B$17,ISR!$C$6:$C$17))</f>
        <v>578.54239999999993</v>
      </c>
      <c r="H22" s="205">
        <v>79.2</v>
      </c>
      <c r="I22" s="205">
        <v>0</v>
      </c>
      <c r="J22" s="205">
        <v>0</v>
      </c>
      <c r="K22" s="205">
        <v>0</v>
      </c>
      <c r="L22" s="205">
        <v>0</v>
      </c>
      <c r="M22" s="205"/>
      <c r="N22" s="205"/>
      <c r="O22" s="204">
        <v>0</v>
      </c>
      <c r="P22" s="205">
        <v>0</v>
      </c>
      <c r="Q22" s="214">
        <f t="shared" si="1"/>
        <v>5692.6575999999995</v>
      </c>
      <c r="R22" s="119"/>
      <c r="S22" s="18"/>
      <c r="T22" s="18"/>
      <c r="U22" s="18"/>
      <c r="V22" s="216"/>
      <c r="W22" s="36"/>
      <c r="X22" s="20"/>
      <c r="Y22" s="36"/>
      <c r="Z22" s="20"/>
      <c r="AA22" s="20"/>
      <c r="AB22" s="20"/>
    </row>
    <row r="23" spans="1:28" ht="35.25" customHeight="1">
      <c r="C23" s="202" t="s">
        <v>1</v>
      </c>
      <c r="D23" s="203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18"/>
      <c r="S23" s="18"/>
      <c r="T23" s="18"/>
      <c r="U23" s="18"/>
      <c r="V23" s="216"/>
      <c r="W23" s="217"/>
      <c r="X23" s="20"/>
      <c r="Y23" s="36"/>
      <c r="Z23" s="20"/>
      <c r="AA23" s="20"/>
      <c r="AB23" s="20"/>
    </row>
    <row r="24" spans="1:28" ht="30.75" customHeight="1">
      <c r="C24" s="88" t="s">
        <v>526</v>
      </c>
      <c r="D24" s="203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296" t="s">
        <v>527</v>
      </c>
      <c r="R24" s="296"/>
      <c r="S24" s="18"/>
      <c r="T24" s="18"/>
      <c r="U24" s="18"/>
      <c r="V24" s="216"/>
      <c r="W24" s="217"/>
      <c r="X24" s="20"/>
      <c r="Y24" s="36"/>
      <c r="Z24" s="20"/>
      <c r="AA24" s="20"/>
      <c r="AB24" s="20"/>
    </row>
    <row r="25" spans="1:28" ht="43.5" customHeight="1">
      <c r="C25" s="206" t="s">
        <v>7</v>
      </c>
      <c r="D25" s="206" t="s">
        <v>8</v>
      </c>
      <c r="E25" s="206" t="s">
        <v>9</v>
      </c>
      <c r="F25" s="206" t="s">
        <v>10</v>
      </c>
      <c r="G25" s="206" t="s">
        <v>14</v>
      </c>
      <c r="H25" s="206" t="s">
        <v>17</v>
      </c>
      <c r="I25" s="206" t="s">
        <v>111</v>
      </c>
      <c r="J25" s="206" t="s">
        <v>11</v>
      </c>
      <c r="K25" s="206" t="s">
        <v>112</v>
      </c>
      <c r="L25" s="206" t="s">
        <v>113</v>
      </c>
      <c r="M25" s="206" t="s">
        <v>114</v>
      </c>
      <c r="N25" s="212" t="s">
        <v>15</v>
      </c>
      <c r="O25" s="229" t="s">
        <v>341</v>
      </c>
      <c r="P25" s="206" t="s">
        <v>115</v>
      </c>
      <c r="Q25" s="206" t="s">
        <v>18</v>
      </c>
      <c r="R25" s="18"/>
      <c r="S25" s="18"/>
      <c r="T25" s="18"/>
      <c r="U25" s="18"/>
      <c r="V25" s="216"/>
      <c r="W25" s="217"/>
      <c r="X25" s="20"/>
      <c r="Y25" s="36"/>
      <c r="Z25" s="20"/>
      <c r="AA25" s="20"/>
      <c r="AB25" s="20"/>
    </row>
    <row r="26" spans="1:28" ht="56.25" customHeight="1">
      <c r="A26" s="80" t="s">
        <v>20</v>
      </c>
      <c r="B26" s="29">
        <v>15</v>
      </c>
      <c r="C26" s="36" t="s">
        <v>134</v>
      </c>
      <c r="D26" s="36" t="s">
        <v>123</v>
      </c>
      <c r="E26" s="204">
        <v>6350.4</v>
      </c>
      <c r="F26" s="205">
        <v>0</v>
      </c>
      <c r="G26" s="20">
        <f>(E26-(LOOKUP(E26,ISR!$A$6:$B$17,ISR!$A$6:$A$17)))*(LOOKUP(E26,ISR!$A$6:$B$17,ISR!$D$6:$D$17))+(LOOKUP(E26,ISR!$A$6:$B$17,ISR!$C$6:$C$17))</f>
        <v>578.54239999999993</v>
      </c>
      <c r="H26" s="205">
        <v>79.2</v>
      </c>
      <c r="I26" s="205">
        <v>0</v>
      </c>
      <c r="J26" s="205">
        <v>0</v>
      </c>
      <c r="K26" s="205">
        <v>0</v>
      </c>
      <c r="L26" s="205">
        <v>0</v>
      </c>
      <c r="M26" s="205"/>
      <c r="N26" s="205"/>
      <c r="O26" s="204">
        <v>0</v>
      </c>
      <c r="P26" s="205">
        <v>0</v>
      </c>
      <c r="Q26" s="214">
        <f>E26+F26-G26-H26-I26+J26+K26+L26+M26-P26-O26-N26</f>
        <v>5692.6575999999995</v>
      </c>
      <c r="R26" s="119"/>
      <c r="S26" s="119"/>
      <c r="T26" s="119"/>
      <c r="U26" s="119"/>
      <c r="V26" s="216"/>
      <c r="W26" s="20"/>
      <c r="X26" s="84"/>
      <c r="Y26" s="20"/>
      <c r="Z26" s="84"/>
      <c r="AA26" s="20"/>
      <c r="AB26" s="20"/>
    </row>
    <row r="27" spans="1:28" ht="56.25" customHeight="1">
      <c r="A27" s="80" t="s">
        <v>135</v>
      </c>
      <c r="B27" s="29">
        <v>16</v>
      </c>
      <c r="C27" s="36" t="s">
        <v>517</v>
      </c>
      <c r="D27" s="36" t="s">
        <v>123</v>
      </c>
      <c r="E27" s="204">
        <v>6350.4</v>
      </c>
      <c r="F27" s="205">
        <v>0</v>
      </c>
      <c r="G27" s="20">
        <f>(E27-(LOOKUP(E27,ISR!$A$6:$B$17,ISR!$A$6:$A$17)))*(LOOKUP(E27,ISR!$A$6:$B$17,ISR!$D$6:$D$17))+(LOOKUP(E27,ISR!$A$6:$B$17,ISR!$C$6:$C$17))</f>
        <v>578.54239999999993</v>
      </c>
      <c r="H27" s="205">
        <v>79.2</v>
      </c>
      <c r="I27" s="205">
        <v>0</v>
      </c>
      <c r="J27" s="205">
        <v>0</v>
      </c>
      <c r="K27" s="205">
        <v>0</v>
      </c>
      <c r="L27" s="205">
        <v>0</v>
      </c>
      <c r="M27" s="205"/>
      <c r="N27" s="205"/>
      <c r="O27" s="204">
        <v>0</v>
      </c>
      <c r="P27" s="205">
        <v>0</v>
      </c>
      <c r="Q27" s="214">
        <f t="shared" ref="Q27" si="2">E27+F27-G27-H27-I27+J27+K27+L27+M27-P27-N27-O27</f>
        <v>5692.6575999999995</v>
      </c>
      <c r="R27" s="119"/>
      <c r="S27" s="18"/>
      <c r="T27" s="18"/>
      <c r="U27" s="18"/>
      <c r="V27" s="216"/>
      <c r="W27" s="20"/>
      <c r="X27" s="84"/>
      <c r="Y27" s="20"/>
      <c r="Z27" s="84"/>
      <c r="AA27" s="20"/>
      <c r="AB27" s="20"/>
    </row>
    <row r="28" spans="1:28" ht="47.25" customHeight="1">
      <c r="A28" s="80" t="s">
        <v>135</v>
      </c>
      <c r="B28" s="29">
        <v>17</v>
      </c>
      <c r="C28" s="36" t="s">
        <v>136</v>
      </c>
      <c r="D28" s="36" t="s">
        <v>123</v>
      </c>
      <c r="E28" s="204">
        <v>6350.4</v>
      </c>
      <c r="F28" s="205"/>
      <c r="G28" s="20">
        <f>(E28-(LOOKUP(E28,ISR!$A$6:$B$17,ISR!$A$6:$A$17)))*(LOOKUP(E28,ISR!$A$6:$B$17,ISR!$D$6:$D$17))+(LOOKUP(E28,ISR!$A$6:$B$17,ISR!$C$6:$C$17))</f>
        <v>578.54239999999993</v>
      </c>
      <c r="H28" s="205">
        <v>79.2</v>
      </c>
      <c r="I28" s="205"/>
      <c r="J28" s="205"/>
      <c r="K28" s="205"/>
      <c r="L28" s="205"/>
      <c r="M28" s="205"/>
      <c r="N28" s="205"/>
      <c r="O28" s="204"/>
      <c r="P28" s="205"/>
      <c r="Q28" s="218">
        <f>E28+F28-G28-H28-I28+J28+K28+L28+M28-P28-N28-O28</f>
        <v>5692.6575999999995</v>
      </c>
      <c r="R28" s="219"/>
      <c r="S28" s="18"/>
      <c r="T28" s="18"/>
      <c r="U28" s="18"/>
      <c r="V28" s="216"/>
      <c r="W28" s="20"/>
      <c r="X28" s="84"/>
      <c r="Y28" s="20"/>
      <c r="Z28" s="84"/>
      <c r="AA28" s="20"/>
      <c r="AB28" s="20"/>
    </row>
    <row r="29" spans="1:28" ht="51.95" customHeight="1">
      <c r="A29" s="207" t="s">
        <v>43</v>
      </c>
      <c r="B29" s="29">
        <v>18</v>
      </c>
      <c r="C29" s="289" t="s">
        <v>137</v>
      </c>
      <c r="D29" s="36" t="s">
        <v>123</v>
      </c>
      <c r="E29" s="204">
        <v>6350.4</v>
      </c>
      <c r="F29" s="205"/>
      <c r="G29" s="20">
        <f>(E29-(LOOKUP(E29,ISR!$A$6:$B$17,ISR!$A$6:$A$17)))*(LOOKUP(E29,ISR!$A$6:$B$17,ISR!$D$6:$D$17))+(LOOKUP(E29,ISR!$A$6:$B$17,ISR!$C$6:$C$17))</f>
        <v>578.54239999999993</v>
      </c>
      <c r="H29" s="205">
        <v>79.2</v>
      </c>
      <c r="I29" s="205">
        <v>0</v>
      </c>
      <c r="J29" s="205">
        <v>0</v>
      </c>
      <c r="K29" s="205">
        <v>0</v>
      </c>
      <c r="L29" s="205">
        <v>0</v>
      </c>
      <c r="M29" s="205"/>
      <c r="N29" s="205">
        <v>0</v>
      </c>
      <c r="O29" s="204">
        <v>0</v>
      </c>
      <c r="P29" s="205">
        <v>0</v>
      </c>
      <c r="Q29" s="218">
        <f t="shared" ref="Q29:Q30" si="3">E29+F29-G29-H29-I29+J29+K29+L29+M29-P29-N29-O29</f>
        <v>5692.6575999999995</v>
      </c>
      <c r="R29" s="219"/>
      <c r="S29" s="18"/>
      <c r="T29" s="18"/>
      <c r="U29" s="18"/>
      <c r="V29" s="216"/>
      <c r="W29" s="20"/>
      <c r="X29" s="84"/>
      <c r="Y29" s="20"/>
      <c r="Z29" s="84"/>
      <c r="AA29" s="20"/>
      <c r="AB29" s="20"/>
    </row>
    <row r="30" spans="1:28" ht="41.1" customHeight="1">
      <c r="A30" s="80" t="s">
        <v>20</v>
      </c>
      <c r="B30" s="29">
        <v>19</v>
      </c>
      <c r="C30" s="36" t="s">
        <v>138</v>
      </c>
      <c r="D30" s="36" t="s">
        <v>123</v>
      </c>
      <c r="E30" s="204">
        <v>6350.4</v>
      </c>
      <c r="F30" s="205"/>
      <c r="G30" s="20">
        <f>(E30-(LOOKUP(E30,ISR!$A$6:$B$17,ISR!$A$6:$A$17)))*(LOOKUP(E30,ISR!$A$6:$B$17,ISR!$D$6:$D$17))+(LOOKUP(E30,ISR!$A$6:$B$17,ISR!$C$6:$C$17))</f>
        <v>578.54239999999993</v>
      </c>
      <c r="H30" s="205">
        <v>79.2</v>
      </c>
      <c r="I30" s="205"/>
      <c r="J30" s="205"/>
      <c r="K30" s="205"/>
      <c r="L30" s="205"/>
      <c r="M30" s="205"/>
      <c r="N30" s="205"/>
      <c r="O30" s="204">
        <v>500</v>
      </c>
      <c r="P30" s="205"/>
      <c r="Q30" s="218">
        <f t="shared" si="3"/>
        <v>5192.6575999999995</v>
      </c>
      <c r="R30" s="219"/>
      <c r="S30" s="18"/>
      <c r="T30" s="18"/>
      <c r="U30" s="18"/>
      <c r="V30" s="216"/>
      <c r="W30" s="20"/>
      <c r="X30" s="84"/>
      <c r="Y30" s="20"/>
      <c r="Z30" s="84"/>
      <c r="AA30" s="20"/>
      <c r="AB30" s="20"/>
    </row>
    <row r="31" spans="1:28" ht="41.1" customHeight="1">
      <c r="A31" s="80" t="s">
        <v>135</v>
      </c>
      <c r="B31" s="29">
        <v>20</v>
      </c>
      <c r="C31" s="36" t="s">
        <v>139</v>
      </c>
      <c r="D31" s="36" t="s">
        <v>123</v>
      </c>
      <c r="E31" s="204">
        <v>6350.4</v>
      </c>
      <c r="F31" s="205"/>
      <c r="G31" s="20">
        <f>(E31-(LOOKUP(E31,ISR!$A$6:$B$17,ISR!$A$6:$A$17)))*(LOOKUP(E31,ISR!$A$6:$B$17,ISR!$D$6:$D$17))+(LOOKUP(E31,ISR!$A$6:$B$17,ISR!$C$6:$C$17))</f>
        <v>578.54239999999993</v>
      </c>
      <c r="H31" s="205">
        <v>79.2</v>
      </c>
      <c r="I31" s="205"/>
      <c r="J31" s="205"/>
      <c r="K31" s="205"/>
      <c r="L31" s="205"/>
      <c r="M31" s="205"/>
      <c r="N31" s="205"/>
      <c r="O31" s="204"/>
      <c r="P31" s="205"/>
      <c r="Q31" s="218">
        <f t="shared" ref="Q31:Q32" si="4">E31+F31-G31-H31-I31+J31+K31+L31+M31-P31-N31-O31</f>
        <v>5692.6575999999995</v>
      </c>
      <c r="R31" s="219"/>
      <c r="S31" s="18"/>
      <c r="T31" s="18"/>
      <c r="U31" s="18"/>
      <c r="V31" s="216"/>
      <c r="W31" s="20"/>
      <c r="X31" s="84"/>
      <c r="Y31" s="20"/>
      <c r="Z31" s="84"/>
      <c r="AA31" s="20"/>
      <c r="AB31" s="20"/>
    </row>
    <row r="32" spans="1:28" ht="42.95" customHeight="1">
      <c r="A32" s="80" t="s">
        <v>135</v>
      </c>
      <c r="B32" s="29">
        <v>21</v>
      </c>
      <c r="C32" s="36" t="s">
        <v>140</v>
      </c>
      <c r="D32" s="36" t="s">
        <v>123</v>
      </c>
      <c r="E32" s="204">
        <v>6350.4</v>
      </c>
      <c r="F32" s="205"/>
      <c r="G32" s="20">
        <f>(E32-(LOOKUP(E32,ISR!$A$6:$B$17,ISR!$A$6:$A$17)))*(LOOKUP(E32,ISR!$A$6:$B$17,ISR!$D$6:$D$17))+(LOOKUP(E32,ISR!$A$6:$B$17,ISR!$C$6:$C$17))</f>
        <v>578.54239999999993</v>
      </c>
      <c r="H32" s="205">
        <v>79.2</v>
      </c>
      <c r="I32" s="205"/>
      <c r="J32" s="205"/>
      <c r="K32" s="205"/>
      <c r="L32" s="205"/>
      <c r="M32" s="205"/>
      <c r="N32" s="205"/>
      <c r="O32" s="204"/>
      <c r="P32" s="205"/>
      <c r="Q32" s="218">
        <f t="shared" si="4"/>
        <v>5692.6575999999995</v>
      </c>
      <c r="R32" s="219"/>
      <c r="S32" s="18"/>
      <c r="T32" s="18"/>
      <c r="U32" s="18"/>
      <c r="V32" s="216"/>
      <c r="W32" s="20"/>
      <c r="X32" s="84"/>
      <c r="Y32" s="20"/>
      <c r="Z32" s="84"/>
      <c r="AA32" s="20"/>
      <c r="AB32" s="20"/>
    </row>
    <row r="33" spans="1:28" ht="33.950000000000003" customHeight="1">
      <c r="A33" s="80" t="s">
        <v>20</v>
      </c>
      <c r="B33" s="29">
        <v>22</v>
      </c>
      <c r="C33" s="36" t="s">
        <v>141</v>
      </c>
      <c r="D33" s="36" t="s">
        <v>123</v>
      </c>
      <c r="E33" s="204">
        <v>6350.4</v>
      </c>
      <c r="F33" s="205"/>
      <c r="G33" s="20">
        <f>(E33-(LOOKUP(E33,ISR!$A$6:$B$17,ISR!$A$6:$A$17)))*(LOOKUP(E33,ISR!$A$6:$B$17,ISR!$D$6:$D$17))+(LOOKUP(E33,ISR!$A$6:$B$17,ISR!$C$6:$C$17))</f>
        <v>578.54239999999993</v>
      </c>
      <c r="H33" s="205">
        <v>79.2</v>
      </c>
      <c r="I33" s="205"/>
      <c r="J33" s="205"/>
      <c r="K33" s="205"/>
      <c r="L33" s="205"/>
      <c r="M33" s="205"/>
      <c r="N33" s="205"/>
      <c r="O33" s="204">
        <v>500</v>
      </c>
      <c r="P33" s="205"/>
      <c r="Q33" s="218">
        <f t="shared" ref="Q33" si="5">E33+F33-G33-H33-I33+J33+K33+L33+M33-P33-N33-O33</f>
        <v>5192.6575999999995</v>
      </c>
      <c r="R33" s="219"/>
      <c r="S33" s="18"/>
      <c r="T33" s="18"/>
      <c r="U33" s="18"/>
      <c r="V33" s="216"/>
      <c r="W33" s="20"/>
      <c r="X33" s="84"/>
      <c r="Y33" s="20"/>
      <c r="Z33" s="84"/>
      <c r="AA33" s="20"/>
      <c r="AB33" s="20"/>
    </row>
    <row r="34" spans="1:28" ht="30.95" customHeight="1">
      <c r="A34" s="80" t="s">
        <v>135</v>
      </c>
      <c r="B34" s="29">
        <v>23</v>
      </c>
      <c r="C34" s="36" t="s">
        <v>142</v>
      </c>
      <c r="D34" s="36" t="s">
        <v>123</v>
      </c>
      <c r="E34" s="204">
        <v>6350.4</v>
      </c>
      <c r="F34" s="205"/>
      <c r="G34" s="20">
        <f>(E34-(LOOKUP(E34,ISR!$A$6:$B$17,ISR!$A$6:$A$17)))*(LOOKUP(E34,ISR!$A$6:$B$17,ISR!$D$6:$D$17))+(LOOKUP(E34,ISR!$A$6:$B$17,ISR!$C$6:$C$17))</f>
        <v>578.54239999999993</v>
      </c>
      <c r="H34" s="205">
        <v>79.2</v>
      </c>
      <c r="I34" s="205"/>
      <c r="J34" s="205"/>
      <c r="K34" s="205"/>
      <c r="L34" s="205"/>
      <c r="M34" s="205"/>
      <c r="N34" s="205"/>
      <c r="O34" s="204">
        <v>500</v>
      </c>
      <c r="P34" s="205"/>
      <c r="Q34" s="218">
        <f t="shared" ref="Q34:Q37" si="6">E34+F34-G34-H34-I34+J34+K34+L34+M34-P34-N34-O34</f>
        <v>5192.6575999999995</v>
      </c>
      <c r="R34" s="119"/>
      <c r="S34" s="18"/>
      <c r="T34" s="18"/>
      <c r="U34" s="18"/>
      <c r="V34" s="216"/>
      <c r="W34" s="20"/>
      <c r="X34" s="84"/>
      <c r="Y34" s="20"/>
      <c r="Z34" s="84"/>
      <c r="AA34" s="20"/>
      <c r="AB34" s="20"/>
    </row>
    <row r="35" spans="1:28" ht="33.75" customHeight="1">
      <c r="A35" s="80" t="s">
        <v>135</v>
      </c>
      <c r="B35" s="29">
        <v>24</v>
      </c>
      <c r="C35" s="36" t="s">
        <v>143</v>
      </c>
      <c r="D35" s="36" t="s">
        <v>123</v>
      </c>
      <c r="E35" s="204">
        <v>6350.4</v>
      </c>
      <c r="F35" s="205"/>
      <c r="G35" s="20">
        <f>(E35-(LOOKUP(E35,ISR!$A$6:$B$17,ISR!$A$6:$A$17)))*(LOOKUP(E35,ISR!$A$6:$B$17,ISR!$D$6:$D$17))+(LOOKUP(E35,ISR!$A$6:$B$17,ISR!$C$6:$C$17))</f>
        <v>578.54239999999993</v>
      </c>
      <c r="H35" s="205">
        <v>79.2</v>
      </c>
      <c r="I35" s="205"/>
      <c r="J35" s="205"/>
      <c r="K35" s="205"/>
      <c r="L35" s="205"/>
      <c r="M35" s="205"/>
      <c r="N35" s="205"/>
      <c r="O35" s="204"/>
      <c r="P35" s="205"/>
      <c r="Q35" s="218">
        <f t="shared" si="6"/>
        <v>5692.6575999999995</v>
      </c>
      <c r="R35" s="219"/>
      <c r="S35" s="18"/>
      <c r="T35" s="18"/>
      <c r="U35" s="18"/>
      <c r="V35" s="216"/>
      <c r="W35" s="20"/>
      <c r="X35" s="84"/>
      <c r="Y35" s="20"/>
      <c r="Z35" s="84"/>
      <c r="AA35" s="20"/>
      <c r="AB35" s="20"/>
    </row>
    <row r="36" spans="1:28" ht="36" customHeight="1">
      <c r="A36" s="80" t="s">
        <v>135</v>
      </c>
      <c r="B36" s="29">
        <v>25</v>
      </c>
      <c r="C36" s="36" t="s">
        <v>144</v>
      </c>
      <c r="D36" s="36" t="s">
        <v>123</v>
      </c>
      <c r="E36" s="204">
        <v>6350.4</v>
      </c>
      <c r="F36" s="205"/>
      <c r="G36" s="20">
        <f>(E36-(LOOKUP(E36,ISR!$A$6:$B$17,ISR!$A$6:$A$17)))*(LOOKUP(E36,ISR!$A$6:$B$17,ISR!$D$6:$D$17))+(LOOKUP(E36,ISR!$A$6:$B$17,ISR!$C$6:$C$17))</f>
        <v>578.54239999999993</v>
      </c>
      <c r="H36" s="205">
        <v>79.2</v>
      </c>
      <c r="I36" s="205"/>
      <c r="J36" s="205"/>
      <c r="K36" s="205"/>
      <c r="L36" s="205"/>
      <c r="M36" s="205"/>
      <c r="N36" s="205">
        <v>0</v>
      </c>
      <c r="O36" s="204"/>
      <c r="P36" s="205"/>
      <c r="Q36" s="218">
        <f t="shared" si="6"/>
        <v>5692.6575999999995</v>
      </c>
      <c r="R36" s="219"/>
      <c r="S36" s="18"/>
      <c r="T36" s="18"/>
      <c r="U36" s="18"/>
      <c r="V36" s="216"/>
      <c r="W36" s="20"/>
      <c r="X36" s="84"/>
      <c r="Y36" s="20"/>
      <c r="Z36" s="84"/>
      <c r="AA36" s="20"/>
      <c r="AB36" s="20"/>
    </row>
    <row r="37" spans="1:28" ht="34.5" customHeight="1">
      <c r="A37" s="80" t="s">
        <v>135</v>
      </c>
      <c r="B37" s="29">
        <v>26</v>
      </c>
      <c r="C37" s="36" t="s">
        <v>145</v>
      </c>
      <c r="D37" s="36" t="s">
        <v>123</v>
      </c>
      <c r="E37" s="204">
        <v>6350.4</v>
      </c>
      <c r="F37" s="205"/>
      <c r="G37" s="20">
        <f>(E37-(LOOKUP(E37,ISR!$A$6:$B$17,ISR!$A$6:$A$17)))*(LOOKUP(E37,ISR!$A$6:$B$17,ISR!$D$6:$D$17))+(LOOKUP(E37,ISR!$A$6:$B$17,ISR!$C$6:$C$17))</f>
        <v>578.54239999999993</v>
      </c>
      <c r="H37" s="205">
        <v>79.2</v>
      </c>
      <c r="I37" s="205"/>
      <c r="J37" s="205"/>
      <c r="K37" s="205"/>
      <c r="L37" s="205"/>
      <c r="M37" s="205"/>
      <c r="N37" s="205"/>
      <c r="O37" s="204"/>
      <c r="P37" s="205"/>
      <c r="Q37" s="218">
        <f t="shared" si="6"/>
        <v>5692.6575999999995</v>
      </c>
      <c r="R37" s="219"/>
      <c r="S37" s="18"/>
      <c r="T37" s="18"/>
      <c r="U37" s="18"/>
      <c r="V37" s="216"/>
      <c r="W37" s="20"/>
      <c r="X37" s="84"/>
      <c r="Y37" s="20"/>
      <c r="Z37" s="84"/>
      <c r="AA37" s="20"/>
      <c r="AB37" s="20"/>
    </row>
    <row r="38" spans="1:28" ht="34.5" customHeight="1">
      <c r="A38" s="80" t="s">
        <v>135</v>
      </c>
      <c r="B38" s="29">
        <v>27</v>
      </c>
      <c r="C38" s="36" t="s">
        <v>146</v>
      </c>
      <c r="D38" s="36" t="s">
        <v>123</v>
      </c>
      <c r="E38" s="204">
        <v>6350.4</v>
      </c>
      <c r="F38" s="205">
        <v>0</v>
      </c>
      <c r="G38" s="20">
        <f>(E38-(LOOKUP(E38,ISR!$A$6:$B$17,ISR!$A$6:$A$17)))*(LOOKUP(E38,ISR!$A$6:$B$17,ISR!$D$6:$D$17))+(LOOKUP(E38,ISR!$A$6:$B$17,ISR!$C$6:$C$17))</f>
        <v>578.54239999999993</v>
      </c>
      <c r="H38" s="205">
        <v>79.2</v>
      </c>
      <c r="I38" s="205">
        <v>0</v>
      </c>
      <c r="J38" s="205">
        <v>0</v>
      </c>
      <c r="K38" s="205">
        <v>0</v>
      </c>
      <c r="L38" s="205">
        <v>0</v>
      </c>
      <c r="M38" s="205"/>
      <c r="N38" s="205">
        <v>0</v>
      </c>
      <c r="O38" s="204">
        <v>0</v>
      </c>
      <c r="P38" s="205">
        <v>0</v>
      </c>
      <c r="Q38" s="218">
        <f t="shared" ref="Q38:Q41" si="7">E38+F38-G38-H38-I38+J38+K38+L38+M38-P38-N38-O38</f>
        <v>5692.6575999999995</v>
      </c>
      <c r="R38" s="219"/>
      <c r="S38" s="18"/>
      <c r="T38" s="18"/>
      <c r="U38" s="18"/>
      <c r="V38" s="216"/>
      <c r="W38" s="20"/>
      <c r="X38" s="84"/>
      <c r="Y38" s="20"/>
      <c r="Z38" s="84"/>
      <c r="AA38" s="20"/>
      <c r="AB38" s="20"/>
    </row>
    <row r="39" spans="1:28" ht="34.5" customHeight="1">
      <c r="A39" s="80" t="s">
        <v>135</v>
      </c>
      <c r="B39" s="29">
        <v>28</v>
      </c>
      <c r="C39" s="36" t="s">
        <v>518</v>
      </c>
      <c r="D39" s="36" t="s">
        <v>123</v>
      </c>
      <c r="E39" s="204">
        <f>6350.4</f>
        <v>6350.4</v>
      </c>
      <c r="F39" s="205"/>
      <c r="G39" s="20">
        <f>(E39-(LOOKUP(E39,ISR!$A$6:$B$17,ISR!$A$6:$A$17)))*(LOOKUP(E39,ISR!$A$6:$B$17,ISR!$D$6:$D$17))+(LOOKUP(E39,ISR!$A$6:$B$17,ISR!$C$6:$C$17))</f>
        <v>578.54239999999993</v>
      </c>
      <c r="H39" s="205">
        <v>79.2</v>
      </c>
      <c r="I39" s="205"/>
      <c r="J39" s="205"/>
      <c r="K39" s="205"/>
      <c r="L39" s="205"/>
      <c r="M39" s="205"/>
      <c r="N39" s="205"/>
      <c r="O39" s="204"/>
      <c r="P39" s="205"/>
      <c r="Q39" s="218">
        <f>E39+F39-G39-H39-I39+J39+K39+L39+M39-P39-N39-O39</f>
        <v>5692.6575999999995</v>
      </c>
      <c r="R39" s="219"/>
      <c r="S39" s="18"/>
      <c r="T39" s="18"/>
      <c r="U39" s="18"/>
      <c r="V39" s="216"/>
      <c r="W39" s="20"/>
      <c r="X39" s="84"/>
      <c r="Y39" s="20"/>
      <c r="Z39" s="84"/>
      <c r="AA39" s="20"/>
      <c r="AB39" s="20"/>
    </row>
    <row r="40" spans="1:28" ht="34.5" customHeight="1">
      <c r="A40" s="80" t="s">
        <v>43</v>
      </c>
      <c r="B40" s="29">
        <v>29</v>
      </c>
      <c r="C40" s="289" t="s">
        <v>147</v>
      </c>
      <c r="D40" s="36" t="s">
        <v>123</v>
      </c>
      <c r="E40" s="204">
        <v>6350.4</v>
      </c>
      <c r="F40" s="205"/>
      <c r="G40" s="20">
        <f>(E40-(LOOKUP(E40,ISR!$A$6:$B$17,ISR!$A$6:$A$17)))*(LOOKUP(E40,ISR!$A$6:$B$17,ISR!$D$6:$D$17))+(LOOKUP(E40,ISR!$A$6:$B$17,ISR!$C$6:$C$17))</f>
        <v>578.54239999999993</v>
      </c>
      <c r="H40" s="205">
        <v>79.2</v>
      </c>
      <c r="I40" s="205"/>
      <c r="J40" s="205"/>
      <c r="K40" s="205"/>
      <c r="L40" s="205"/>
      <c r="M40" s="205"/>
      <c r="N40" s="205"/>
      <c r="O40" s="204"/>
      <c r="P40" s="205"/>
      <c r="Q40" s="218">
        <f>E40+F40-G40-H40-I40+J40+K40+L40+M40-P40-N40-O40</f>
        <v>5692.6575999999995</v>
      </c>
      <c r="R40" s="219"/>
      <c r="S40" s="18"/>
      <c r="T40" s="18"/>
      <c r="U40" s="18"/>
      <c r="V40" s="216"/>
      <c r="W40" s="20"/>
      <c r="X40" s="84"/>
      <c r="Y40" s="20"/>
      <c r="Z40" s="84"/>
      <c r="AA40" s="20"/>
      <c r="AB40" s="20"/>
    </row>
    <row r="41" spans="1:28" ht="34.5" customHeight="1">
      <c r="A41" s="80" t="s">
        <v>135</v>
      </c>
      <c r="B41" s="29">
        <v>30</v>
      </c>
      <c r="C41" s="36" t="s">
        <v>148</v>
      </c>
      <c r="D41" s="36" t="s">
        <v>123</v>
      </c>
      <c r="E41" s="204">
        <v>6350.4</v>
      </c>
      <c r="F41" s="205"/>
      <c r="G41" s="20">
        <f>(E41-(LOOKUP(E41,ISR!$A$6:$B$17,ISR!$A$6:$A$17)))*(LOOKUP(E41,ISR!$A$6:$B$17,ISR!$D$6:$D$17))+(LOOKUP(E41,ISR!$A$6:$B$17,ISR!$C$6:$C$17))</f>
        <v>578.54239999999993</v>
      </c>
      <c r="H41" s="205">
        <v>79.2</v>
      </c>
      <c r="I41" s="205"/>
      <c r="J41" s="205"/>
      <c r="K41" s="205"/>
      <c r="L41" s="205"/>
      <c r="M41" s="205"/>
      <c r="N41" s="205"/>
      <c r="O41" s="204"/>
      <c r="P41" s="205"/>
      <c r="Q41" s="218">
        <f t="shared" si="7"/>
        <v>5692.6575999999995</v>
      </c>
      <c r="R41" s="219"/>
      <c r="S41" s="18"/>
      <c r="T41" s="18"/>
      <c r="U41" s="18"/>
      <c r="V41" s="216"/>
      <c r="W41" s="20"/>
      <c r="X41" s="84"/>
      <c r="Y41" s="20"/>
      <c r="Z41" s="84"/>
      <c r="AA41" s="20"/>
      <c r="AB41" s="20"/>
    </row>
    <row r="42" spans="1:28" ht="34.5" customHeight="1">
      <c r="A42" s="80" t="s">
        <v>135</v>
      </c>
      <c r="B42" s="29">
        <v>31</v>
      </c>
      <c r="C42" s="36" t="s">
        <v>150</v>
      </c>
      <c r="D42" s="36" t="s">
        <v>123</v>
      </c>
      <c r="E42" s="204">
        <v>6350.4</v>
      </c>
      <c r="F42" s="205"/>
      <c r="G42" s="20">
        <f>(E42-(LOOKUP(E42,ISR!$A$6:$B$17,ISR!$A$6:$A$17)))*(LOOKUP(E42,ISR!$A$6:$B$17,ISR!$D$6:$D$17))+(LOOKUP(E42,ISR!$A$6:$B$17,ISR!$C$6:$C$17))</f>
        <v>578.54239999999993</v>
      </c>
      <c r="H42" s="205">
        <v>79.2</v>
      </c>
      <c r="I42" s="205"/>
      <c r="J42" s="205"/>
      <c r="K42" s="205"/>
      <c r="L42" s="205"/>
      <c r="M42" s="205"/>
      <c r="N42" s="205"/>
      <c r="O42" s="204"/>
      <c r="P42" s="205"/>
      <c r="Q42" s="218">
        <f t="shared" ref="Q42" si="8">E42+F42-G42-H42-I42+J42+K42+L42+M42-P42-N42-O42</f>
        <v>5692.6575999999995</v>
      </c>
      <c r="R42" s="219"/>
      <c r="S42" s="18"/>
      <c r="T42" s="18"/>
      <c r="U42" s="18"/>
      <c r="V42" s="216"/>
      <c r="W42" s="20"/>
      <c r="X42" s="84"/>
      <c r="Y42" s="20"/>
      <c r="Z42" s="84"/>
      <c r="AA42" s="20"/>
      <c r="AB42" s="20"/>
    </row>
    <row r="43" spans="1:28" ht="34.5" customHeight="1">
      <c r="A43" s="80" t="s">
        <v>135</v>
      </c>
      <c r="B43" s="29">
        <v>32</v>
      </c>
      <c r="C43" s="36" t="s">
        <v>516</v>
      </c>
      <c r="D43" s="36" t="s">
        <v>123</v>
      </c>
      <c r="E43" s="204">
        <f>6350.4</f>
        <v>6350.4</v>
      </c>
      <c r="F43" s="205"/>
      <c r="G43" s="20">
        <f>(E43-(LOOKUP(E43,ISR!$A$6:$B$17,ISR!$A$6:$A$17)))*(LOOKUP(E43,ISR!$A$6:$B$17,ISR!$D$6:$D$17))+(LOOKUP(E43,ISR!$A$6:$B$17,ISR!$C$6:$C$17))</f>
        <v>578.54239999999993</v>
      </c>
      <c r="H43" s="205">
        <v>79.2</v>
      </c>
      <c r="I43" s="205"/>
      <c r="J43" s="205"/>
      <c r="K43" s="205"/>
      <c r="L43" s="205"/>
      <c r="M43" s="205"/>
      <c r="N43" s="205"/>
      <c r="O43" s="204">
        <v>500</v>
      </c>
      <c r="P43" s="205"/>
      <c r="Q43" s="218">
        <f t="shared" ref="Q43" si="9">E43+F43-G43-H43-I43+J43+K43+L43+M43-P43-N43-O43</f>
        <v>5192.6575999999995</v>
      </c>
      <c r="R43" s="219"/>
      <c r="S43" s="18"/>
      <c r="T43" s="18"/>
      <c r="U43" s="18"/>
      <c r="V43" s="216"/>
      <c r="W43" s="20"/>
      <c r="X43" s="84"/>
      <c r="Y43" s="20"/>
      <c r="Z43" s="84"/>
      <c r="AA43" s="20"/>
      <c r="AB43" s="20"/>
    </row>
    <row r="44" spans="1:28" ht="34.5" customHeight="1">
      <c r="A44" s="80" t="s">
        <v>43</v>
      </c>
      <c r="B44" s="29">
        <v>33</v>
      </c>
      <c r="C44" s="36" t="s">
        <v>533</v>
      </c>
      <c r="D44" s="36" t="s">
        <v>123</v>
      </c>
      <c r="E44" s="204">
        <f>6350.4/15*6</f>
        <v>2540.16</v>
      </c>
      <c r="F44" s="205"/>
      <c r="G44" s="20">
        <f>(E44-(LOOKUP(E44,ISR!$A$6:$B$17,ISR!$A$6:$A$17)))*(LOOKUP(E44,ISR!$A$6:$B$17,ISR!$D$6:$D$17))+(LOOKUP(E44,ISR!$A$6:$B$17,ISR!$C$6:$C$17))</f>
        <v>146.06119999999999</v>
      </c>
      <c r="H44" s="205">
        <v>79.2</v>
      </c>
      <c r="I44" s="205"/>
      <c r="J44" s="205"/>
      <c r="K44" s="205"/>
      <c r="L44" s="205"/>
      <c r="M44" s="205"/>
      <c r="N44" s="205"/>
      <c r="O44" s="204"/>
      <c r="P44" s="205"/>
      <c r="Q44" s="218">
        <f>E44+F44-G44-H44-I44+J44+K44+L44+M44-P44-N44-O44</f>
        <v>2314.8987999999999</v>
      </c>
      <c r="R44" s="219"/>
      <c r="S44" s="18"/>
      <c r="T44" s="18"/>
      <c r="U44" s="18"/>
      <c r="V44" s="216"/>
      <c r="W44" s="20"/>
      <c r="X44" s="84"/>
      <c r="Y44" s="20"/>
      <c r="Z44" s="84"/>
      <c r="AA44" s="20"/>
      <c r="AB44" s="20"/>
    </row>
    <row r="45" spans="1:28" ht="34.5" customHeight="1">
      <c r="A45" s="80" t="s">
        <v>43</v>
      </c>
      <c r="B45" s="29">
        <v>34</v>
      </c>
      <c r="C45" s="289" t="s">
        <v>514</v>
      </c>
      <c r="D45" s="36" t="s">
        <v>123</v>
      </c>
      <c r="E45" s="204">
        <v>6350.4</v>
      </c>
      <c r="F45" s="205"/>
      <c r="G45" s="20">
        <f>(E45-(LOOKUP(E45,ISR!$A$6:$B$17,ISR!$A$6:$A$17)))*(LOOKUP(E45,ISR!$A$6:$B$17,ISR!$D$6:$D$17))+(LOOKUP(E45,ISR!$A$6:$B$17,ISR!$C$6:$C$17))</f>
        <v>578.54239999999993</v>
      </c>
      <c r="H45" s="205">
        <v>79.2</v>
      </c>
      <c r="I45" s="205"/>
      <c r="J45" s="205"/>
      <c r="K45" s="205"/>
      <c r="L45" s="205"/>
      <c r="M45" s="205"/>
      <c r="N45" s="205"/>
      <c r="O45" s="204"/>
      <c r="P45" s="205"/>
      <c r="Q45" s="218">
        <f t="shared" ref="Q45" si="10">E45+F45-G45-H45-I45+J45+K45+L45+M45-P45-N45-O45</f>
        <v>5692.6575999999995</v>
      </c>
      <c r="R45" s="219"/>
      <c r="S45" s="18"/>
      <c r="T45" s="18"/>
      <c r="U45" s="18"/>
      <c r="V45" s="216"/>
      <c r="W45" s="20"/>
      <c r="X45" s="84"/>
      <c r="Y45" s="20"/>
      <c r="Z45" s="84"/>
      <c r="AA45" s="20"/>
      <c r="AB45" s="20"/>
    </row>
    <row r="46" spans="1:28" ht="24.75" customHeight="1">
      <c r="C46" s="36"/>
      <c r="D46" s="36"/>
      <c r="E46" s="205"/>
      <c r="F46" s="205"/>
      <c r="G46" s="205"/>
      <c r="H46" s="205"/>
      <c r="I46" s="205"/>
      <c r="J46" s="205"/>
      <c r="K46" s="205"/>
      <c r="L46" s="205"/>
      <c r="M46" s="205"/>
      <c r="N46" s="205"/>
      <c r="O46" s="204">
        <v>0</v>
      </c>
      <c r="P46" s="205"/>
      <c r="Q46" s="205"/>
      <c r="R46" s="18"/>
      <c r="W46" s="20"/>
      <c r="X46" s="20"/>
      <c r="Y46" s="20"/>
      <c r="Z46" s="20"/>
      <c r="AA46" s="20"/>
      <c r="AB46" s="20"/>
    </row>
    <row r="47" spans="1:28" ht="24.75" customHeight="1">
      <c r="C47" s="36"/>
      <c r="D47" s="36"/>
      <c r="E47" s="181">
        <f t="shared" ref="E47:Q47" si="11">+E6+E7+E8+E9+E10+E11+E12+E13+E17+E18+E19+E20+E21+E22+E26+E27+E28+E29+E30+E31+E32+E33+E34+E35+E36+E37+E38+E39+E40+E41+E42+E43+E44+E45</f>
        <v>225525.38399999987</v>
      </c>
      <c r="F47" s="181">
        <f t="shared" si="11"/>
        <v>0</v>
      </c>
      <c r="G47" s="181">
        <f t="shared" si="11"/>
        <v>21969.42791839999</v>
      </c>
      <c r="H47" s="181">
        <f t="shared" si="11"/>
        <v>3133.0399999999981</v>
      </c>
      <c r="I47" s="181">
        <f t="shared" si="11"/>
        <v>0</v>
      </c>
      <c r="J47" s="181">
        <f t="shared" si="11"/>
        <v>0</v>
      </c>
      <c r="K47" s="181">
        <f t="shared" si="11"/>
        <v>0</v>
      </c>
      <c r="L47" s="181">
        <f t="shared" si="11"/>
        <v>0</v>
      </c>
      <c r="M47" s="181">
        <f t="shared" si="11"/>
        <v>0</v>
      </c>
      <c r="N47" s="181">
        <f t="shared" si="11"/>
        <v>0</v>
      </c>
      <c r="O47" s="181">
        <f t="shared" si="11"/>
        <v>2000</v>
      </c>
      <c r="P47" s="181">
        <f t="shared" si="11"/>
        <v>0</v>
      </c>
      <c r="Q47" s="181">
        <f t="shared" si="11"/>
        <v>198422.91608160012</v>
      </c>
      <c r="S47" s="35"/>
    </row>
    <row r="48" spans="1:28" ht="24.75" customHeight="1">
      <c r="C48" s="36"/>
      <c r="D48" s="36"/>
      <c r="E48" s="208"/>
      <c r="F48" s="208"/>
      <c r="G48" s="208"/>
      <c r="H48" s="208"/>
      <c r="I48" s="208"/>
      <c r="J48" s="208"/>
      <c r="K48" s="208"/>
      <c r="L48" s="208"/>
      <c r="M48" s="208"/>
      <c r="N48" s="213"/>
      <c r="O48" s="208"/>
      <c r="P48" s="208"/>
      <c r="Q48" s="208"/>
      <c r="S48" s="35"/>
    </row>
    <row r="49" spans="4:19" ht="24.75" customHeight="1">
      <c r="E49" s="38"/>
      <c r="F49" s="38"/>
      <c r="G49" s="38"/>
      <c r="H49" s="38"/>
      <c r="I49" s="38"/>
      <c r="J49" s="38"/>
      <c r="K49" s="38"/>
      <c r="L49" s="38"/>
      <c r="M49" s="38"/>
      <c r="N49" s="109"/>
      <c r="O49" s="38"/>
      <c r="P49" s="38"/>
      <c r="Q49" s="38"/>
      <c r="S49" s="35"/>
    </row>
    <row r="50" spans="4:19" ht="24.75" customHeight="1">
      <c r="E50" s="38"/>
      <c r="F50" s="38"/>
      <c r="G50" s="38"/>
      <c r="H50" s="38"/>
      <c r="I50" s="38"/>
      <c r="J50" s="38"/>
      <c r="K50" s="38"/>
      <c r="L50" s="38"/>
      <c r="M50" s="38"/>
      <c r="N50" s="109"/>
      <c r="O50" s="38"/>
      <c r="P50" s="38"/>
      <c r="Q50" s="35"/>
      <c r="S50" s="35"/>
    </row>
    <row r="51" spans="4:19" ht="27.75" customHeight="1" thickBot="1">
      <c r="D51" s="113"/>
      <c r="E51" s="113"/>
      <c r="I51" s="35"/>
      <c r="K51" s="236"/>
      <c r="L51" s="141"/>
      <c r="M51" s="251"/>
    </row>
    <row r="52" spans="4:19" ht="22.5" customHeight="1" thickTop="1">
      <c r="D52" s="304" t="s">
        <v>108</v>
      </c>
      <c r="E52" s="304"/>
      <c r="F52" s="47"/>
      <c r="G52" s="49"/>
      <c r="H52" s="31"/>
      <c r="I52" s="31"/>
      <c r="J52" s="31"/>
      <c r="K52" s="299" t="s">
        <v>521</v>
      </c>
      <c r="L52" s="299"/>
      <c r="M52" s="299"/>
      <c r="N52" s="18"/>
      <c r="Q52" s="35"/>
    </row>
    <row r="53" spans="4:19" ht="15.75">
      <c r="D53" s="209" t="s">
        <v>109</v>
      </c>
      <c r="E53" s="209"/>
      <c r="F53" s="31"/>
      <c r="G53" s="31"/>
      <c r="H53" s="31"/>
      <c r="I53" s="31"/>
      <c r="J53" s="31"/>
      <c r="K53" s="296" t="s">
        <v>519</v>
      </c>
      <c r="L53" s="296"/>
      <c r="M53" s="296"/>
      <c r="N53" s="18"/>
      <c r="Q53" s="20"/>
    </row>
    <row r="54" spans="4:19">
      <c r="Q54" s="20"/>
    </row>
    <row r="55" spans="4:19">
      <c r="Q55" s="84"/>
    </row>
    <row r="56" spans="4:19">
      <c r="Q56" s="38">
        <f>E47-F47-G47-H47-N47+M47-O47</f>
        <v>198422.91608159986</v>
      </c>
    </row>
    <row r="61" spans="4:19">
      <c r="Q61" s="35"/>
    </row>
    <row r="62" spans="4:19">
      <c r="Q62" s="35"/>
    </row>
    <row r="63" spans="4:19">
      <c r="Q63" s="35"/>
    </row>
    <row r="68" spans="1:28" ht="39.950000000000003" customHeight="1">
      <c r="E68" s="20"/>
      <c r="F68" s="20"/>
      <c r="G68" s="20"/>
      <c r="H68" s="20"/>
      <c r="I68" s="20"/>
      <c r="J68" s="20"/>
      <c r="K68" s="20"/>
      <c r="L68" s="20"/>
      <c r="M68" s="20"/>
      <c r="N68" s="20"/>
      <c r="P68" s="20"/>
      <c r="Q68" s="56"/>
      <c r="S68" s="18"/>
      <c r="T68" s="18"/>
      <c r="U68" s="18"/>
      <c r="W68" s="20"/>
      <c r="X68" s="20"/>
      <c r="Y68" s="20"/>
      <c r="Z68" s="20"/>
      <c r="AA68" s="20"/>
      <c r="AB68" s="20"/>
    </row>
    <row r="69" spans="1:28">
      <c r="O69" s="97"/>
      <c r="R69" s="18"/>
    </row>
    <row r="71" spans="1:28" ht="39.950000000000003" customHeight="1">
      <c r="E71" s="20"/>
      <c r="F71" s="20"/>
      <c r="G71" s="20"/>
      <c r="H71" s="20"/>
      <c r="I71" s="20"/>
      <c r="J71" s="20"/>
      <c r="K71" s="20"/>
      <c r="L71" s="20"/>
      <c r="M71" s="20"/>
      <c r="N71" s="20"/>
      <c r="P71" s="20"/>
      <c r="Q71" s="56"/>
      <c r="S71" s="18"/>
      <c r="T71" s="18"/>
      <c r="U71" s="18"/>
      <c r="W71" s="20"/>
      <c r="X71" s="20"/>
      <c r="Y71" s="20"/>
      <c r="Z71" s="20"/>
      <c r="AA71" s="20"/>
      <c r="AB71" s="20"/>
    </row>
    <row r="72" spans="1:28" ht="39.950000000000003" customHeight="1"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97"/>
      <c r="P72" s="20"/>
      <c r="Q72" s="56"/>
      <c r="R72" s="18"/>
      <c r="S72" s="18"/>
      <c r="T72" s="18"/>
      <c r="U72" s="18"/>
      <c r="W72" s="20"/>
      <c r="X72" s="20"/>
      <c r="Y72" s="20"/>
      <c r="Z72" s="20"/>
      <c r="AA72" s="20"/>
      <c r="AB72" s="20"/>
    </row>
    <row r="73" spans="1:28">
      <c r="O73" s="97"/>
      <c r="R73" s="18"/>
    </row>
    <row r="74" spans="1:28" ht="39.950000000000003" customHeight="1">
      <c r="E74" s="20"/>
      <c r="F74" s="20"/>
      <c r="G74" s="20"/>
      <c r="H74" s="20"/>
      <c r="I74" s="20"/>
      <c r="J74" s="20"/>
      <c r="K74" s="20"/>
      <c r="L74" s="20"/>
      <c r="M74" s="20"/>
      <c r="N74" s="20"/>
      <c r="P74" s="20"/>
      <c r="Q74" s="56"/>
      <c r="S74" s="18"/>
      <c r="T74" s="18"/>
      <c r="U74" s="18"/>
      <c r="W74" s="20"/>
      <c r="X74" s="20"/>
      <c r="Y74" s="20"/>
      <c r="Z74" s="20"/>
      <c r="AA74" s="20"/>
      <c r="AB74" s="20"/>
    </row>
    <row r="75" spans="1:28" ht="39.950000000000003" customHeight="1"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97"/>
      <c r="P75" s="20"/>
      <c r="Q75" s="56"/>
      <c r="R75" s="18"/>
      <c r="S75" s="18"/>
      <c r="T75" s="18"/>
      <c r="U75" s="18"/>
      <c r="W75" s="20"/>
      <c r="X75" s="20"/>
      <c r="Y75" s="20"/>
      <c r="Z75" s="20"/>
      <c r="AA75" s="20"/>
      <c r="AB75" s="20"/>
    </row>
    <row r="76" spans="1:28">
      <c r="O76" s="97"/>
      <c r="R76" s="18"/>
    </row>
    <row r="77" spans="1:28" ht="39.950000000000003" customHeight="1">
      <c r="E77" s="20"/>
      <c r="F77" s="20"/>
      <c r="G77" s="20"/>
      <c r="H77" s="20"/>
      <c r="I77" s="20"/>
      <c r="J77" s="20"/>
      <c r="K77" s="20"/>
      <c r="L77" s="20"/>
      <c r="M77" s="20"/>
      <c r="N77" s="20"/>
      <c r="P77" s="20"/>
      <c r="Q77" s="56"/>
      <c r="S77" s="18"/>
      <c r="T77" s="18"/>
      <c r="U77" s="18"/>
      <c r="W77" s="20"/>
      <c r="X77" s="20"/>
      <c r="Y77" s="20"/>
      <c r="Z77" s="20"/>
      <c r="AA77" s="20"/>
      <c r="AB77" s="20"/>
    </row>
    <row r="78" spans="1:28" ht="39.950000000000003" customHeight="1">
      <c r="A78" s="220"/>
      <c r="B78" s="28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97"/>
      <c r="P78" s="20"/>
      <c r="Q78" s="56"/>
      <c r="R78" s="18"/>
      <c r="S78" s="18"/>
      <c r="T78" s="18"/>
      <c r="U78" s="18"/>
      <c r="W78" s="20"/>
      <c r="X78" s="20"/>
      <c r="Y78" s="20"/>
      <c r="Z78" s="20"/>
      <c r="AA78" s="20"/>
      <c r="AB78" s="20"/>
    </row>
    <row r="79" spans="1:28">
      <c r="O79" s="97"/>
      <c r="R79" s="18"/>
    </row>
    <row r="80" spans="1:28" ht="39.950000000000003" customHeight="1">
      <c r="E80" s="20"/>
      <c r="F80" s="20"/>
      <c r="G80" s="20"/>
      <c r="H80" s="20"/>
      <c r="I80" s="20"/>
      <c r="J80" s="20"/>
      <c r="K80" s="20"/>
      <c r="L80" s="20"/>
      <c r="M80" s="20"/>
      <c r="N80" s="20"/>
      <c r="P80" s="20"/>
      <c r="Q80" s="56"/>
      <c r="S80" s="18"/>
      <c r="T80" s="18"/>
      <c r="U80" s="18"/>
      <c r="W80" s="20"/>
      <c r="X80" s="20"/>
      <c r="Y80" s="20"/>
      <c r="Z80" s="20"/>
      <c r="AA80" s="20"/>
      <c r="AB80" s="20"/>
    </row>
    <row r="81" spans="5:28">
      <c r="O81" s="97"/>
      <c r="R81" s="18"/>
    </row>
    <row r="82" spans="5:28" ht="39.950000000000003" customHeight="1">
      <c r="E82" s="20"/>
      <c r="F82" s="20"/>
      <c r="G82" s="20"/>
      <c r="H82" s="20"/>
      <c r="I82" s="20"/>
      <c r="J82" s="20"/>
      <c r="K82" s="20"/>
      <c r="L82" s="20"/>
      <c r="M82" s="20"/>
      <c r="N82" s="20"/>
      <c r="P82" s="20"/>
      <c r="Q82" s="56"/>
      <c r="S82" s="18"/>
      <c r="T82" s="18"/>
      <c r="U82" s="18"/>
      <c r="W82" s="20"/>
      <c r="X82" s="20"/>
      <c r="Y82" s="20"/>
      <c r="Z82" s="20"/>
      <c r="AA82" s="20"/>
      <c r="AB82" s="20"/>
    </row>
    <row r="83" spans="5:28">
      <c r="O83" s="97"/>
      <c r="R83" s="18"/>
    </row>
    <row r="84" spans="5:28" ht="39.950000000000003" customHeight="1">
      <c r="E84" s="20"/>
      <c r="F84" s="20"/>
      <c r="G84" s="20"/>
      <c r="H84" s="20"/>
      <c r="I84" s="20"/>
      <c r="J84" s="20"/>
      <c r="K84" s="20"/>
      <c r="L84" s="20"/>
      <c r="M84" s="20"/>
      <c r="N84" s="20"/>
      <c r="P84" s="20"/>
      <c r="Q84" s="56"/>
      <c r="S84" s="18"/>
      <c r="T84" s="18"/>
      <c r="U84" s="18"/>
      <c r="W84" s="20"/>
      <c r="X84" s="20"/>
      <c r="Y84" s="20"/>
      <c r="Z84" s="20"/>
      <c r="AA84" s="20"/>
      <c r="AB84" s="20"/>
    </row>
    <row r="85" spans="5:28">
      <c r="O85" s="97"/>
      <c r="R85" s="18"/>
    </row>
    <row r="88" spans="5:28" ht="39.950000000000003" customHeight="1">
      <c r="E88" s="20"/>
      <c r="F88" s="20"/>
      <c r="G88" s="20"/>
      <c r="H88" s="20"/>
      <c r="I88" s="20"/>
      <c r="J88" s="20"/>
      <c r="K88" s="20"/>
      <c r="L88" s="20"/>
      <c r="M88" s="20"/>
      <c r="N88" s="20"/>
      <c r="P88" s="20"/>
      <c r="Q88" s="56"/>
      <c r="S88" s="18"/>
      <c r="T88" s="18"/>
      <c r="U88" s="18"/>
      <c r="W88" s="20"/>
      <c r="X88" s="20"/>
      <c r="Y88" s="20"/>
      <c r="Z88" s="20"/>
      <c r="AA88" s="20"/>
      <c r="AB88" s="20"/>
    </row>
    <row r="89" spans="5:28">
      <c r="O89" s="97"/>
      <c r="R89" s="18"/>
    </row>
    <row r="91" spans="5:28" ht="39.950000000000003" customHeight="1">
      <c r="E91" s="20"/>
      <c r="F91" s="20"/>
      <c r="G91" s="20"/>
      <c r="H91" s="20"/>
      <c r="I91" s="20"/>
      <c r="J91" s="20"/>
      <c r="K91" s="20"/>
      <c r="L91" s="20"/>
      <c r="M91" s="20"/>
      <c r="N91" s="20"/>
      <c r="P91" s="20"/>
      <c r="Q91" s="56"/>
      <c r="S91" s="18"/>
      <c r="T91" s="18"/>
      <c r="U91" s="18"/>
      <c r="W91" s="20"/>
      <c r="X91" s="20"/>
      <c r="Y91" s="20"/>
      <c r="Z91" s="20"/>
      <c r="AA91" s="20"/>
      <c r="AB91" s="20"/>
    </row>
    <row r="92" spans="5:28">
      <c r="O92" s="97"/>
      <c r="R92" s="18"/>
    </row>
    <row r="96" spans="5:28" ht="39.950000000000003" customHeight="1">
      <c r="E96" s="20"/>
      <c r="F96" s="20"/>
      <c r="G96" s="20"/>
      <c r="H96" s="20"/>
      <c r="I96" s="20"/>
      <c r="J96" s="20"/>
      <c r="K96" s="20"/>
      <c r="L96" s="20"/>
      <c r="M96" s="20"/>
      <c r="N96" s="20"/>
      <c r="P96" s="20"/>
      <c r="Q96" s="56"/>
      <c r="S96" s="18"/>
      <c r="T96" s="18"/>
      <c r="U96" s="18"/>
      <c r="W96" s="20"/>
      <c r="X96" s="20"/>
      <c r="Y96" s="20"/>
      <c r="Z96" s="20"/>
      <c r="AA96" s="20"/>
      <c r="AB96" s="20"/>
    </row>
    <row r="97" spans="1:28" ht="39.950000000000003" customHeight="1"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97"/>
      <c r="P97" s="20"/>
      <c r="Q97" s="56"/>
      <c r="R97" s="18"/>
      <c r="S97" s="18"/>
      <c r="T97" s="18"/>
      <c r="U97" s="18"/>
      <c r="W97" s="20"/>
      <c r="X97" s="20"/>
      <c r="Y97" s="20"/>
      <c r="Z97" s="20"/>
      <c r="AA97" s="20"/>
      <c r="AB97" s="20"/>
    </row>
    <row r="98" spans="1:28">
      <c r="O98" s="97"/>
      <c r="R98" s="18"/>
    </row>
    <row r="99" spans="1:28" ht="39.950000000000003" customHeight="1">
      <c r="E99" s="20"/>
      <c r="F99" s="20"/>
      <c r="G99" s="20"/>
      <c r="H99" s="20"/>
      <c r="I99" s="20"/>
      <c r="J99" s="20"/>
      <c r="K99" s="20"/>
      <c r="L99" s="20"/>
      <c r="M99" s="20"/>
      <c r="N99" s="20"/>
      <c r="P99" s="20"/>
      <c r="Q99" s="56"/>
      <c r="S99" s="18"/>
      <c r="T99" s="18"/>
      <c r="U99" s="18"/>
      <c r="W99" s="20"/>
      <c r="X99" s="20"/>
      <c r="Y99" s="20"/>
      <c r="Z99" s="20"/>
      <c r="AA99" s="20"/>
      <c r="AB99" s="20"/>
    </row>
    <row r="100" spans="1:28" ht="39.950000000000003" customHeight="1"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97"/>
      <c r="P100" s="20"/>
      <c r="Q100" s="56"/>
      <c r="R100" s="18"/>
      <c r="S100" s="18"/>
      <c r="T100" s="18"/>
      <c r="U100" s="18"/>
      <c r="W100" s="20"/>
      <c r="X100" s="20"/>
      <c r="Y100" s="20"/>
      <c r="Z100" s="20"/>
      <c r="AA100" s="20"/>
      <c r="AB100" s="20"/>
    </row>
    <row r="101" spans="1:28" ht="39.950000000000003" customHeight="1"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97"/>
      <c r="P101" s="20"/>
      <c r="Q101" s="56"/>
      <c r="R101" s="18"/>
      <c r="S101" s="18"/>
      <c r="T101" s="18"/>
      <c r="U101" s="18"/>
      <c r="W101" s="20"/>
      <c r="X101" s="20"/>
      <c r="Y101" s="20"/>
      <c r="Z101" s="20"/>
      <c r="AA101" s="20"/>
      <c r="AB101" s="20"/>
    </row>
    <row r="102" spans="1:28" ht="39.950000000000003" customHeight="1"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97"/>
      <c r="P102" s="20"/>
      <c r="Q102" s="56"/>
      <c r="R102" s="18"/>
      <c r="S102" s="18"/>
      <c r="T102" s="18"/>
      <c r="U102" s="18"/>
      <c r="W102" s="20"/>
      <c r="X102" s="20"/>
      <c r="Y102" s="20"/>
      <c r="Z102" s="20"/>
      <c r="AA102" s="20"/>
      <c r="AB102" s="20"/>
    </row>
    <row r="103" spans="1:28">
      <c r="O103" s="97"/>
      <c r="R103" s="18"/>
    </row>
    <row r="104" spans="1:28" ht="39.950000000000003" customHeight="1"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P104" s="20"/>
      <c r="Q104" s="56"/>
      <c r="S104" s="18"/>
      <c r="T104" s="18"/>
      <c r="U104" s="18"/>
      <c r="W104" s="20"/>
      <c r="X104" s="20"/>
      <c r="Y104" s="20"/>
      <c r="Z104" s="20"/>
      <c r="AA104" s="20"/>
      <c r="AB104" s="20"/>
    </row>
    <row r="105" spans="1:28" ht="39.950000000000003" customHeight="1">
      <c r="A105" s="220"/>
      <c r="B105" s="28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97"/>
      <c r="P105" s="20"/>
      <c r="Q105" s="56"/>
      <c r="R105" s="18"/>
      <c r="S105" s="18"/>
      <c r="T105" s="18"/>
      <c r="U105" s="18"/>
      <c r="W105" s="20"/>
      <c r="X105" s="20"/>
      <c r="Y105" s="20"/>
      <c r="Z105" s="20"/>
      <c r="AA105" s="20"/>
      <c r="AB105" s="20"/>
    </row>
    <row r="106" spans="1:28">
      <c r="O106" s="97"/>
      <c r="R106" s="18"/>
    </row>
    <row r="108" spans="1:28" ht="39.950000000000003" customHeight="1"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P108" s="20"/>
      <c r="Q108" s="56"/>
      <c r="S108" s="18"/>
      <c r="T108" s="18"/>
      <c r="U108" s="18"/>
      <c r="W108" s="20"/>
      <c r="X108" s="20"/>
      <c r="Y108" s="20"/>
      <c r="Z108" s="20"/>
      <c r="AA108" s="20"/>
      <c r="AB108" s="20"/>
    </row>
    <row r="109" spans="1:28">
      <c r="O109" s="97"/>
      <c r="R109" s="18"/>
    </row>
    <row r="115" spans="1:28" ht="39.950000000000003" customHeight="1">
      <c r="E115" s="20"/>
      <c r="F115" s="20"/>
      <c r="G115" s="20"/>
      <c r="H115" s="20"/>
      <c r="I115" s="20"/>
      <c r="J115" s="20"/>
      <c r="K115" s="20"/>
      <c r="L115" s="20"/>
      <c r="M115" s="20"/>
      <c r="N115" s="20"/>
      <c r="P115" s="20"/>
      <c r="Q115" s="56"/>
      <c r="S115" s="18"/>
      <c r="T115" s="18"/>
      <c r="U115" s="18"/>
      <c r="W115" s="20"/>
      <c r="X115" s="20"/>
      <c r="Y115" s="20"/>
      <c r="Z115" s="20"/>
      <c r="AA115" s="20"/>
      <c r="AB115" s="20"/>
    </row>
    <row r="116" spans="1:28">
      <c r="O116" s="97"/>
      <c r="R116" s="18"/>
    </row>
    <row r="117" spans="1:28" ht="39.950000000000003" customHeight="1"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P117" s="20"/>
      <c r="Q117" s="56"/>
      <c r="S117" s="18"/>
      <c r="T117" s="18"/>
      <c r="U117" s="18"/>
      <c r="W117" s="20"/>
      <c r="X117" s="20"/>
      <c r="Y117" s="20"/>
      <c r="Z117" s="20"/>
      <c r="AA117" s="20"/>
      <c r="AB117" s="20"/>
    </row>
    <row r="118" spans="1:28">
      <c r="O118" s="97"/>
      <c r="R118" s="18"/>
    </row>
    <row r="119" spans="1:28" ht="39.950000000000003" customHeight="1"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P119" s="20"/>
      <c r="Q119" s="56"/>
      <c r="S119" s="18"/>
      <c r="T119" s="18"/>
      <c r="U119" s="18"/>
      <c r="W119" s="20"/>
      <c r="X119" s="221"/>
      <c r="Y119" s="20"/>
      <c r="Z119" s="20"/>
      <c r="AA119" s="20"/>
      <c r="AB119" s="20"/>
    </row>
    <row r="120" spans="1:28">
      <c r="O120" s="97"/>
      <c r="R120" s="18"/>
    </row>
    <row r="122" spans="1:28" ht="39.950000000000003" customHeight="1">
      <c r="A122" s="220"/>
      <c r="B122" s="28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P122" s="20"/>
      <c r="Q122" s="56"/>
      <c r="S122" s="18"/>
      <c r="T122" s="18"/>
      <c r="U122" s="18"/>
      <c r="W122" s="20"/>
      <c r="X122" s="20"/>
      <c r="Y122" s="20"/>
      <c r="Z122" s="20"/>
      <c r="AA122" s="20"/>
      <c r="AB122" s="20"/>
    </row>
    <row r="123" spans="1:28" ht="39.950000000000003" customHeight="1"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97"/>
      <c r="P123" s="20"/>
      <c r="Q123" s="56"/>
      <c r="R123" s="18"/>
      <c r="S123" s="18"/>
      <c r="T123" s="18"/>
      <c r="U123" s="18"/>
      <c r="W123" s="20"/>
      <c r="X123" s="20"/>
      <c r="Y123" s="20"/>
      <c r="Z123" s="20"/>
      <c r="AA123" s="20"/>
      <c r="AB123" s="20"/>
    </row>
    <row r="124" spans="1:28">
      <c r="O124" s="97"/>
      <c r="R124" s="18"/>
    </row>
    <row r="126" spans="1:28" ht="19.5" customHeight="1"/>
    <row r="127" spans="1:28" ht="39.950000000000003" customHeight="1"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P127" s="20"/>
      <c r="Q127" s="56"/>
      <c r="S127" s="18"/>
      <c r="T127" s="18"/>
      <c r="U127" s="18"/>
      <c r="W127" s="20"/>
      <c r="X127" s="20"/>
      <c r="Y127" s="20"/>
      <c r="Z127" s="20"/>
      <c r="AA127" s="20"/>
      <c r="AB127" s="20"/>
    </row>
    <row r="128" spans="1:28">
      <c r="O128" s="97"/>
      <c r="R128" s="18"/>
    </row>
    <row r="129" spans="1:28" ht="39.950000000000003" customHeight="1"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P129" s="20"/>
      <c r="Q129" s="56"/>
      <c r="S129" s="18"/>
      <c r="T129" s="18"/>
      <c r="U129" s="18"/>
      <c r="W129" s="20"/>
      <c r="X129" s="20"/>
      <c r="Y129" s="20"/>
      <c r="Z129" s="20"/>
      <c r="AA129" s="20"/>
      <c r="AB129" s="20"/>
    </row>
    <row r="130" spans="1:28">
      <c r="O130" s="97"/>
      <c r="R130" s="18"/>
    </row>
    <row r="132" spans="1:28" ht="39.950000000000003" customHeight="1"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P132" s="20"/>
      <c r="Q132" s="56"/>
      <c r="S132" s="18"/>
      <c r="T132" s="18"/>
      <c r="U132" s="18"/>
      <c r="W132" s="20"/>
      <c r="X132" s="20"/>
      <c r="Y132" s="20"/>
      <c r="Z132" s="20"/>
      <c r="AA132" s="20"/>
      <c r="AB132" s="20"/>
    </row>
    <row r="133" spans="1:28">
      <c r="O133" s="97"/>
      <c r="R133" s="18"/>
    </row>
    <row r="135" spans="1:28" s="201" customFormat="1" ht="39.950000000000003" customHeight="1">
      <c r="A135" s="222"/>
      <c r="B135" s="223"/>
      <c r="E135" s="224"/>
      <c r="F135" s="224"/>
      <c r="G135" s="224"/>
      <c r="H135" s="224"/>
      <c r="I135" s="224"/>
      <c r="J135" s="224"/>
      <c r="K135" s="224"/>
      <c r="L135" s="224"/>
      <c r="M135" s="224"/>
      <c r="N135" s="224"/>
      <c r="O135"/>
      <c r="P135" s="224"/>
      <c r="Q135" s="226"/>
      <c r="R135"/>
      <c r="S135" s="227"/>
      <c r="T135" s="227"/>
      <c r="U135" s="227"/>
      <c r="W135" s="224"/>
      <c r="X135" s="224"/>
      <c r="Y135" s="224"/>
      <c r="Z135" s="224"/>
      <c r="AA135" s="224"/>
      <c r="AB135" s="224"/>
    </row>
    <row r="136" spans="1:28" s="201" customFormat="1" ht="39.950000000000003" customHeight="1">
      <c r="A136" s="222"/>
      <c r="B136" s="223"/>
      <c r="E136" s="224"/>
      <c r="F136" s="224"/>
      <c r="G136" s="224"/>
      <c r="H136" s="224"/>
      <c r="I136" s="224"/>
      <c r="J136" s="224"/>
      <c r="K136" s="224"/>
      <c r="L136" s="224"/>
      <c r="M136" s="224"/>
      <c r="N136" s="224"/>
      <c r="O136" s="225"/>
      <c r="P136" s="224"/>
      <c r="Q136" s="226"/>
      <c r="R136" s="227"/>
      <c r="S136" s="227"/>
      <c r="T136" s="227"/>
      <c r="U136" s="227"/>
      <c r="W136" s="224"/>
      <c r="X136" s="224"/>
      <c r="Y136" s="224"/>
      <c r="Z136" s="224"/>
      <c r="AA136" s="224"/>
      <c r="AB136" s="224"/>
    </row>
    <row r="137" spans="1:28">
      <c r="O137" s="225"/>
      <c r="R137" s="227"/>
    </row>
    <row r="138" spans="1:28" ht="39.950000000000003" customHeight="1">
      <c r="E138" s="97"/>
      <c r="F138" s="20"/>
      <c r="G138" s="20"/>
      <c r="H138" s="20"/>
      <c r="I138" s="20"/>
      <c r="J138" s="20"/>
      <c r="K138" s="20"/>
      <c r="L138" s="20"/>
      <c r="M138" s="20"/>
      <c r="N138" s="20"/>
      <c r="P138" s="20"/>
      <c r="Q138" s="56"/>
      <c r="S138" s="18"/>
      <c r="T138" s="18"/>
      <c r="U138" s="18"/>
      <c r="W138" s="20"/>
      <c r="X138" s="20"/>
      <c r="Y138" s="20"/>
      <c r="Z138" s="20"/>
      <c r="AA138" s="20"/>
      <c r="AB138" s="20"/>
    </row>
    <row r="139" spans="1:28">
      <c r="O139" s="97"/>
      <c r="R139" s="18"/>
    </row>
    <row r="147" spans="5:28" ht="39.950000000000003" customHeight="1">
      <c r="E147" s="97"/>
      <c r="F147" s="20"/>
      <c r="G147" s="20"/>
      <c r="H147" s="20"/>
      <c r="I147" s="20"/>
      <c r="J147" s="20"/>
      <c r="K147" s="20"/>
      <c r="L147" s="20"/>
      <c r="M147" s="20"/>
      <c r="N147" s="20"/>
      <c r="P147" s="20"/>
      <c r="Q147" s="56"/>
      <c r="S147" s="18"/>
      <c r="T147" s="18"/>
      <c r="U147" s="18"/>
      <c r="W147" s="20"/>
      <c r="X147" s="20"/>
      <c r="Y147" s="20"/>
      <c r="Z147" s="20"/>
      <c r="AA147" s="20"/>
      <c r="AB147" s="20"/>
    </row>
    <row r="148" spans="5:28">
      <c r="O148" s="97"/>
      <c r="R148" s="18"/>
    </row>
    <row r="149" spans="5:28" ht="39.950000000000003" customHeight="1">
      <c r="E149" s="97"/>
      <c r="F149" s="20"/>
      <c r="G149" s="20"/>
      <c r="H149" s="20"/>
      <c r="I149" s="20"/>
      <c r="J149" s="20"/>
      <c r="K149" s="20"/>
      <c r="L149" s="20"/>
      <c r="M149" s="20"/>
      <c r="N149" s="20"/>
      <c r="P149" s="20"/>
      <c r="Q149" s="56"/>
      <c r="S149" s="18"/>
      <c r="T149" s="18"/>
      <c r="U149" s="18"/>
      <c r="V149" s="228"/>
      <c r="W149" s="20"/>
      <c r="X149" s="56"/>
      <c r="Y149" s="20"/>
      <c r="Z149" s="20"/>
      <c r="AA149" s="20"/>
      <c r="AB149" s="20"/>
    </row>
    <row r="150" spans="5:28">
      <c r="O150" s="97"/>
      <c r="R150" s="18"/>
    </row>
    <row r="151" spans="5:28" ht="39.950000000000003" customHeight="1">
      <c r="E151" s="97"/>
      <c r="F151" s="20"/>
      <c r="G151" s="20"/>
      <c r="H151" s="20"/>
      <c r="I151" s="20"/>
      <c r="J151" s="20"/>
      <c r="K151" s="20"/>
      <c r="L151" s="20"/>
      <c r="M151" s="20"/>
      <c r="N151" s="20"/>
      <c r="P151" s="20"/>
      <c r="Q151" s="56"/>
      <c r="S151" s="18"/>
      <c r="T151" s="18"/>
      <c r="U151" s="18"/>
      <c r="W151" s="20"/>
      <c r="X151" s="20"/>
      <c r="Y151" s="20"/>
      <c r="Z151" s="20"/>
      <c r="AA151" s="20"/>
      <c r="AB151" s="20"/>
    </row>
    <row r="152" spans="5:28" ht="39.950000000000003" customHeight="1">
      <c r="E152" s="97"/>
      <c r="F152" s="20"/>
      <c r="G152" s="20"/>
      <c r="H152" s="20"/>
      <c r="I152" s="20"/>
      <c r="J152" s="20"/>
      <c r="K152" s="20"/>
      <c r="L152" s="20"/>
      <c r="M152" s="20"/>
      <c r="N152" s="20"/>
      <c r="O152" s="97"/>
      <c r="P152" s="20"/>
      <c r="Q152" s="56"/>
      <c r="R152" s="18"/>
      <c r="S152" s="18"/>
      <c r="T152" s="18"/>
      <c r="U152" s="18"/>
      <c r="W152" s="20"/>
      <c r="X152" s="20"/>
      <c r="Y152" s="20"/>
      <c r="Z152" s="20"/>
      <c r="AA152" s="20"/>
      <c r="AB152" s="20"/>
    </row>
    <row r="153" spans="5:28">
      <c r="O153" s="97"/>
      <c r="R153" s="18"/>
    </row>
    <row r="154" spans="5:28" ht="39.950000000000003" customHeight="1">
      <c r="E154" s="97"/>
      <c r="F154" s="20"/>
      <c r="G154" s="20"/>
      <c r="H154" s="20"/>
      <c r="I154" s="20"/>
      <c r="J154" s="20"/>
      <c r="K154" s="20"/>
      <c r="L154" s="20"/>
      <c r="M154" s="20"/>
      <c r="N154" s="20"/>
      <c r="P154" s="20"/>
      <c r="Q154" s="56"/>
      <c r="S154" s="18"/>
      <c r="T154" s="18"/>
      <c r="U154" s="18"/>
      <c r="W154" s="20"/>
      <c r="X154" s="20"/>
      <c r="Y154" s="20"/>
      <c r="Z154" s="20"/>
      <c r="AA154" s="20"/>
      <c r="AB154" s="20"/>
    </row>
    <row r="155" spans="5:28">
      <c r="O155" s="97"/>
      <c r="R155" s="18"/>
    </row>
    <row r="156" spans="5:28" ht="39.950000000000003" customHeight="1">
      <c r="E156" s="97"/>
      <c r="F156" s="20"/>
      <c r="G156" s="20"/>
      <c r="H156" s="20"/>
      <c r="I156" s="20"/>
      <c r="J156" s="20"/>
      <c r="K156" s="20"/>
      <c r="L156" s="20"/>
      <c r="M156" s="20"/>
      <c r="N156" s="20"/>
      <c r="P156" s="20"/>
      <c r="Q156" s="56"/>
      <c r="S156" s="18"/>
      <c r="T156" s="18"/>
      <c r="U156" s="18"/>
      <c r="W156" s="20"/>
      <c r="X156" s="20"/>
      <c r="Y156" s="20"/>
      <c r="Z156" s="20"/>
      <c r="AA156" s="20"/>
      <c r="AB156" s="20"/>
    </row>
    <row r="157" spans="5:28" ht="39.950000000000003" customHeight="1">
      <c r="E157" s="97"/>
      <c r="F157" s="20"/>
      <c r="G157" s="20"/>
      <c r="H157" s="20"/>
      <c r="I157" s="20"/>
      <c r="J157" s="20"/>
      <c r="K157" s="20"/>
      <c r="L157" s="20"/>
      <c r="M157" s="20"/>
      <c r="N157" s="20"/>
      <c r="O157" s="97"/>
      <c r="P157" s="20"/>
      <c r="Q157" s="56"/>
      <c r="R157" s="18"/>
      <c r="S157" s="18"/>
      <c r="T157" s="18"/>
      <c r="U157" s="18"/>
      <c r="W157" s="20"/>
      <c r="X157" s="20"/>
      <c r="Y157" s="20"/>
      <c r="Z157" s="20"/>
      <c r="AA157" s="20"/>
      <c r="AB157" s="20"/>
    </row>
    <row r="158" spans="5:28">
      <c r="O158" s="97"/>
      <c r="R158" s="18"/>
    </row>
    <row r="159" spans="5:28" ht="39.950000000000003" customHeight="1">
      <c r="E159" s="97"/>
      <c r="F159" s="20"/>
      <c r="G159" s="20"/>
      <c r="H159" s="20"/>
      <c r="I159" s="20"/>
      <c r="J159" s="20"/>
      <c r="K159" s="20"/>
      <c r="L159" s="20"/>
      <c r="M159" s="20"/>
      <c r="N159" s="20"/>
      <c r="P159" s="20"/>
      <c r="Q159" s="56"/>
      <c r="S159" s="18"/>
      <c r="T159" s="18"/>
      <c r="U159" s="18"/>
      <c r="W159" s="20"/>
      <c r="X159" s="20"/>
      <c r="Y159" s="20"/>
      <c r="Z159" s="20"/>
      <c r="AA159" s="20"/>
      <c r="AB159" s="20"/>
    </row>
    <row r="160" spans="5:28">
      <c r="O160" s="97"/>
      <c r="R160" s="18"/>
    </row>
    <row r="161" spans="5:28" ht="39.950000000000003" customHeight="1">
      <c r="E161" s="97"/>
      <c r="F161" s="20"/>
      <c r="G161" s="20"/>
      <c r="H161" s="20"/>
      <c r="I161" s="20"/>
      <c r="J161" s="20"/>
      <c r="K161" s="20"/>
      <c r="L161" s="20"/>
      <c r="M161" s="20"/>
      <c r="N161" s="20"/>
      <c r="P161" s="20"/>
      <c r="Q161" s="56"/>
      <c r="S161" s="18"/>
      <c r="T161" s="18"/>
      <c r="U161" s="18"/>
      <c r="W161" s="20"/>
      <c r="X161" s="20"/>
      <c r="Y161" s="20"/>
      <c r="Z161" s="20"/>
      <c r="AA161" s="20"/>
      <c r="AB161" s="20"/>
    </row>
    <row r="162" spans="5:28" ht="39.950000000000003" customHeight="1">
      <c r="E162" s="97"/>
      <c r="F162" s="20"/>
      <c r="G162" s="20"/>
      <c r="H162" s="20"/>
      <c r="I162" s="20"/>
      <c r="J162" s="20"/>
      <c r="K162" s="20"/>
      <c r="L162" s="20"/>
      <c r="M162" s="20"/>
      <c r="N162" s="20"/>
      <c r="O162" s="97"/>
      <c r="P162" s="20"/>
      <c r="Q162" s="56"/>
      <c r="R162" s="18"/>
      <c r="S162" s="18"/>
      <c r="T162" s="18"/>
      <c r="U162" s="18"/>
      <c r="Z162" s="20"/>
      <c r="AA162" s="20"/>
      <c r="AB162" s="20"/>
    </row>
    <row r="163" spans="5:28">
      <c r="O163" s="97"/>
      <c r="R163" s="18"/>
    </row>
    <row r="164" spans="5:28" ht="39.950000000000003" customHeight="1">
      <c r="E164" s="97"/>
      <c r="F164" s="20"/>
      <c r="G164" s="20"/>
      <c r="H164" s="20"/>
      <c r="I164" s="20"/>
      <c r="J164" s="20"/>
      <c r="K164" s="20"/>
      <c r="L164" s="20"/>
      <c r="M164" s="20"/>
      <c r="N164" s="20"/>
      <c r="P164" s="20"/>
      <c r="Q164" s="56"/>
      <c r="S164" s="18"/>
      <c r="T164" s="18"/>
      <c r="U164" s="18"/>
      <c r="W164" s="56"/>
      <c r="X164" s="20"/>
      <c r="Y164" s="20"/>
      <c r="Z164" s="20"/>
      <c r="AA164" s="20"/>
      <c r="AB164" s="20"/>
    </row>
    <row r="165" spans="5:28">
      <c r="O165" s="97"/>
      <c r="R165" s="18"/>
    </row>
    <row r="166" spans="5:28" ht="39.950000000000003" customHeight="1">
      <c r="E166" s="97"/>
      <c r="F166" s="20"/>
      <c r="G166" s="20"/>
      <c r="H166" s="20"/>
      <c r="I166" s="20"/>
      <c r="J166" s="20"/>
      <c r="K166" s="20"/>
      <c r="L166" s="20"/>
      <c r="M166" s="20"/>
      <c r="N166" s="20"/>
      <c r="P166" s="20"/>
      <c r="Q166" s="56"/>
      <c r="S166" s="18"/>
      <c r="T166" s="18"/>
      <c r="U166" s="18"/>
      <c r="X166" s="20"/>
      <c r="Y166" s="20"/>
      <c r="Z166" s="20"/>
      <c r="AA166" s="20"/>
      <c r="AB166" s="20"/>
    </row>
    <row r="167" spans="5:28">
      <c r="O167" s="97"/>
      <c r="R167" s="18"/>
    </row>
    <row r="170" spans="5:28" ht="39" customHeight="1">
      <c r="E170" s="97"/>
      <c r="F170" s="20"/>
      <c r="G170" s="20"/>
      <c r="H170" s="20"/>
      <c r="I170" s="20"/>
      <c r="J170" s="20"/>
      <c r="K170" s="20"/>
      <c r="L170" s="20"/>
      <c r="M170" s="20"/>
      <c r="N170" s="20"/>
      <c r="P170" s="20"/>
      <c r="Q170" s="56"/>
      <c r="S170" s="18"/>
      <c r="T170" s="18"/>
      <c r="U170" s="18"/>
      <c r="W170" s="20"/>
      <c r="X170" s="20"/>
      <c r="Y170" s="20"/>
      <c r="Z170" s="20"/>
      <c r="AA170" s="20"/>
      <c r="AB170" s="20"/>
    </row>
    <row r="171" spans="5:28">
      <c r="O171" s="97"/>
      <c r="R171" s="18"/>
    </row>
    <row r="174" spans="5:28" ht="39.950000000000003" customHeight="1">
      <c r="E174" s="97"/>
      <c r="F174" s="20"/>
      <c r="G174" s="20"/>
      <c r="H174" s="20"/>
      <c r="I174" s="20"/>
      <c r="J174" s="20"/>
      <c r="K174" s="20"/>
      <c r="L174" s="20"/>
      <c r="M174" s="20"/>
      <c r="N174" s="20"/>
      <c r="P174" s="20"/>
      <c r="Q174" s="56"/>
      <c r="S174" s="18"/>
      <c r="T174" s="18"/>
      <c r="U174" s="18"/>
      <c r="W174" s="20"/>
      <c r="X174" s="20"/>
      <c r="Y174" s="20"/>
      <c r="Z174" s="20"/>
      <c r="AA174" s="20"/>
      <c r="AB174" s="20"/>
    </row>
    <row r="175" spans="5:28" ht="39.950000000000003" customHeight="1">
      <c r="E175" s="97"/>
      <c r="F175" s="20"/>
      <c r="G175" s="20"/>
      <c r="H175" s="20"/>
      <c r="I175" s="20"/>
      <c r="J175" s="20"/>
      <c r="K175" s="20"/>
      <c r="L175" s="20"/>
      <c r="M175" s="20"/>
      <c r="N175" s="20"/>
      <c r="O175" s="97"/>
      <c r="P175" s="20"/>
      <c r="Q175" s="56"/>
      <c r="R175" s="18"/>
      <c r="S175" s="18"/>
      <c r="T175" s="18"/>
      <c r="U175" s="18"/>
      <c r="W175" s="20"/>
      <c r="X175" s="20"/>
      <c r="Y175" s="20"/>
      <c r="Z175" s="20"/>
      <c r="AA175" s="20"/>
      <c r="AB175" s="20"/>
    </row>
    <row r="176" spans="5:28">
      <c r="O176" s="97"/>
      <c r="R176" s="18"/>
    </row>
    <row r="177" spans="5:28" ht="39" customHeight="1">
      <c r="E177" s="97"/>
      <c r="F177" s="20"/>
      <c r="G177" s="20"/>
      <c r="H177" s="20"/>
      <c r="I177" s="20"/>
      <c r="J177" s="20"/>
      <c r="K177" s="20"/>
      <c r="L177" s="20"/>
      <c r="M177" s="20"/>
      <c r="N177" s="20"/>
      <c r="P177" s="20"/>
      <c r="Q177" s="56"/>
      <c r="S177" s="18"/>
      <c r="T177" s="18"/>
      <c r="U177" s="18"/>
      <c r="W177" s="20"/>
      <c r="X177" s="20"/>
      <c r="Y177" s="20"/>
      <c r="Z177" s="20"/>
      <c r="AA177" s="20"/>
      <c r="AB177" s="20"/>
    </row>
    <row r="178" spans="5:28">
      <c r="O178" s="97"/>
      <c r="R178" s="18"/>
    </row>
    <row r="179" spans="5:28" ht="39.950000000000003" customHeight="1">
      <c r="E179" s="97"/>
      <c r="F179" s="20"/>
      <c r="G179" s="20"/>
      <c r="H179" s="20"/>
      <c r="I179" s="20"/>
      <c r="J179" s="20"/>
      <c r="K179" s="20"/>
      <c r="L179" s="20"/>
      <c r="M179" s="20"/>
      <c r="N179" s="20"/>
      <c r="P179" s="20"/>
      <c r="Q179" s="56"/>
      <c r="S179" s="18"/>
      <c r="T179" s="18"/>
      <c r="U179" s="18"/>
      <c r="W179" s="20"/>
      <c r="X179" s="56"/>
      <c r="Y179" s="20"/>
      <c r="Z179" s="20"/>
      <c r="AA179" s="20"/>
      <c r="AB179" s="20"/>
    </row>
    <row r="180" spans="5:28">
      <c r="O180" s="97"/>
      <c r="R180" s="18"/>
    </row>
  </sheetData>
  <mergeCells count="6">
    <mergeCell ref="D52:E52"/>
    <mergeCell ref="K52:M52"/>
    <mergeCell ref="K53:M53"/>
    <mergeCell ref="P2:Q2"/>
    <mergeCell ref="Q15:R15"/>
    <mergeCell ref="Q24:R24"/>
  </mergeCells>
  <pageMargins left="0.59055118110236227" right="0.70866141732283472" top="0.62992125984251968" bottom="0.19685039370078741" header="0.31496062992125984" footer="0.23622047244094491"/>
  <pageSetup paperSize="5" scale="51" fitToHeight="0" orientation="landscape" r:id="rId1"/>
  <headerFooter>
    <oddFooter>&amp;CNomina Seguridad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tabColor theme="9"/>
  </sheetPr>
  <dimension ref="A2:AC398"/>
  <sheetViews>
    <sheetView topLeftCell="A204" zoomScale="80" zoomScaleNormal="80" workbookViewId="0">
      <selection activeCell="I143" sqref="I143"/>
    </sheetView>
  </sheetViews>
  <sheetFormatPr baseColWidth="10" defaultColWidth="11.42578125" defaultRowHeight="15"/>
  <cols>
    <col min="1" max="1" width="8" style="29" customWidth="1"/>
    <col min="2" max="2" width="5.85546875" style="29" customWidth="1"/>
    <col min="3" max="3" width="21.28515625" customWidth="1"/>
    <col min="4" max="4" width="40" customWidth="1"/>
    <col min="5" max="5" width="26.5703125" customWidth="1"/>
    <col min="6" max="6" width="19" customWidth="1"/>
    <col min="7" max="7" width="18.140625" style="42" customWidth="1"/>
    <col min="8" max="8" width="14.140625" style="42" customWidth="1"/>
    <col min="9" max="9" width="17" style="85" customWidth="1"/>
    <col min="10" max="10" width="31.7109375" customWidth="1"/>
    <col min="11" max="11" width="60.28515625" customWidth="1"/>
    <col min="12" max="12" width="18.28515625" customWidth="1"/>
    <col min="13" max="13" width="28.28515625" customWidth="1"/>
    <col min="14" max="14" width="17.7109375" customWidth="1"/>
    <col min="15" max="15" width="13.28515625" customWidth="1"/>
    <col min="16" max="16" width="11.42578125" customWidth="1"/>
    <col min="19" max="19" width="12.140625" customWidth="1"/>
  </cols>
  <sheetData>
    <row r="2" spans="1:13" ht="20.25" customHeight="1">
      <c r="C2" s="303" t="s">
        <v>1</v>
      </c>
      <c r="D2" s="303"/>
      <c r="E2" s="303"/>
      <c r="F2" s="88"/>
      <c r="G2" s="87"/>
      <c r="H2" s="87"/>
      <c r="I2" s="155"/>
      <c r="J2" s="88"/>
      <c r="K2" s="88"/>
      <c r="L2" s="31"/>
      <c r="M2" s="31"/>
    </row>
    <row r="3" spans="1:13" ht="19.5" customHeight="1">
      <c r="C3" s="88"/>
      <c r="D3" s="88" t="s">
        <v>528</v>
      </c>
      <c r="E3" s="88"/>
      <c r="F3" s="88"/>
      <c r="G3" s="87"/>
      <c r="H3" s="87"/>
      <c r="I3" s="155"/>
      <c r="J3" s="88"/>
      <c r="K3" s="88"/>
      <c r="L3" s="31"/>
      <c r="M3" s="31"/>
    </row>
    <row r="4" spans="1:13" ht="18.75">
      <c r="C4" s="88"/>
      <c r="D4" s="88"/>
      <c r="E4" s="88"/>
      <c r="F4" s="88"/>
      <c r="G4" s="87"/>
      <c r="H4" s="87"/>
      <c r="I4" s="155"/>
      <c r="J4" s="88"/>
      <c r="K4" s="88"/>
      <c r="L4" s="31"/>
      <c r="M4" s="31"/>
    </row>
    <row r="5" spans="1:13" ht="18.75">
      <c r="C5" s="88"/>
      <c r="D5" s="149" t="s">
        <v>151</v>
      </c>
      <c r="E5" s="88"/>
      <c r="F5" s="88"/>
      <c r="G5" s="87"/>
      <c r="H5" s="87"/>
      <c r="I5" s="155"/>
      <c r="J5" s="80"/>
      <c r="K5" s="88"/>
      <c r="L5" s="31"/>
      <c r="M5" s="31"/>
    </row>
    <row r="6" spans="1:13" ht="33.75" customHeight="1">
      <c r="C6" s="88"/>
      <c r="D6" s="76" t="s">
        <v>152</v>
      </c>
      <c r="E6" s="88"/>
      <c r="F6" s="88"/>
      <c r="G6" s="87"/>
      <c r="H6" s="87"/>
      <c r="I6" s="155"/>
      <c r="J6" s="29" t="s">
        <v>527</v>
      </c>
      <c r="K6" s="88"/>
      <c r="L6" s="31"/>
      <c r="M6" s="31"/>
    </row>
    <row r="7" spans="1:13" ht="43.5" customHeight="1">
      <c r="B7" s="29" t="s">
        <v>6</v>
      </c>
      <c r="C7" s="150" t="s">
        <v>3</v>
      </c>
      <c r="D7" s="150"/>
      <c r="E7" s="150"/>
      <c r="F7" s="150" t="s">
        <v>153</v>
      </c>
      <c r="G7" s="150" t="s">
        <v>154</v>
      </c>
      <c r="H7" s="150" t="s">
        <v>155</v>
      </c>
      <c r="I7" s="229" t="s">
        <v>341</v>
      </c>
      <c r="J7" s="150" t="s">
        <v>156</v>
      </c>
      <c r="K7" s="156"/>
      <c r="L7" s="31"/>
      <c r="M7" s="31"/>
    </row>
    <row r="8" spans="1:13" ht="18.75">
      <c r="C8" s="18"/>
      <c r="D8" s="29" t="s">
        <v>157</v>
      </c>
      <c r="F8" s="29"/>
      <c r="G8" s="151"/>
      <c r="H8" s="29"/>
      <c r="I8" s="157"/>
      <c r="J8" s="29"/>
      <c r="K8" s="88"/>
      <c r="L8" s="31"/>
      <c r="M8" s="31"/>
    </row>
    <row r="9" spans="1:13" ht="30.75" customHeight="1">
      <c r="A9" s="29" t="s">
        <v>20</v>
      </c>
      <c r="B9" s="29">
        <v>1</v>
      </c>
      <c r="C9" t="s">
        <v>158</v>
      </c>
      <c r="D9" t="s">
        <v>159</v>
      </c>
      <c r="E9" t="s">
        <v>160</v>
      </c>
      <c r="F9" s="99">
        <v>4717.4399999999996</v>
      </c>
      <c r="G9" s="103">
        <v>0</v>
      </c>
      <c r="H9" s="103">
        <v>0</v>
      </c>
      <c r="I9" s="103">
        <v>0</v>
      </c>
      <c r="J9" s="54">
        <f>F9+G9-H9-I9</f>
        <v>4717.4399999999996</v>
      </c>
      <c r="K9" s="140"/>
      <c r="L9" s="44"/>
      <c r="M9" s="44"/>
    </row>
    <row r="10" spans="1:13" ht="30.75" customHeight="1">
      <c r="F10" s="109">
        <f>+F9</f>
        <v>4717.4399999999996</v>
      </c>
      <c r="G10" s="109">
        <f>+G9</f>
        <v>0</v>
      </c>
      <c r="H10" s="109">
        <f>+H9</f>
        <v>0</v>
      </c>
      <c r="I10" s="109">
        <f>+I9</f>
        <v>0</v>
      </c>
      <c r="J10" s="55">
        <f>+J9</f>
        <v>4717.4399999999996</v>
      </c>
      <c r="K10" s="158"/>
      <c r="L10" s="44"/>
      <c r="M10" s="44"/>
    </row>
    <row r="11" spans="1:13" ht="18.75">
      <c r="D11" s="29" t="s">
        <v>161</v>
      </c>
      <c r="K11" s="88"/>
      <c r="L11" s="47"/>
      <c r="M11" s="31"/>
    </row>
    <row r="12" spans="1:13" ht="18.75">
      <c r="B12" s="29">
        <v>2</v>
      </c>
      <c r="C12" t="s">
        <v>158</v>
      </c>
      <c r="D12" s="152" t="s">
        <v>162</v>
      </c>
      <c r="E12" t="s">
        <v>163</v>
      </c>
      <c r="F12" s="39">
        <v>3365</v>
      </c>
      <c r="G12" s="39"/>
      <c r="H12" s="39"/>
      <c r="J12" s="39">
        <f>F12+G12-H12-I12</f>
        <v>3365</v>
      </c>
      <c r="K12" s="159"/>
      <c r="L12" s="31"/>
      <c r="M12" s="31"/>
    </row>
    <row r="13" spans="1:13" ht="23.25" customHeight="1">
      <c r="B13" s="29">
        <v>3</v>
      </c>
      <c r="C13" t="s">
        <v>158</v>
      </c>
      <c r="D13" t="s">
        <v>164</v>
      </c>
      <c r="E13" t="s">
        <v>165</v>
      </c>
      <c r="F13" s="54">
        <v>2644.4879999999998</v>
      </c>
      <c r="G13" s="139"/>
      <c r="H13" s="139"/>
      <c r="I13" s="139"/>
      <c r="J13" s="54">
        <f>F13+G13-H13-I13</f>
        <v>2644.4879999999998</v>
      </c>
      <c r="K13" s="140"/>
      <c r="L13" s="31"/>
      <c r="M13" s="31"/>
    </row>
    <row r="14" spans="1:13" ht="24.75" customHeight="1">
      <c r="F14" s="55">
        <f>SUM(F12:F13)</f>
        <v>6009.4879999999994</v>
      </c>
      <c r="G14" s="55">
        <f>SUM(G12:G13)</f>
        <v>0</v>
      </c>
      <c r="H14" s="55">
        <f>SUM(H12:H13)</f>
        <v>0</v>
      </c>
      <c r="I14" s="55">
        <f>SUM(N27)</f>
        <v>0</v>
      </c>
      <c r="J14" s="55">
        <f>SUM(J12:J13)</f>
        <v>6009.4879999999994</v>
      </c>
      <c r="K14" s="88"/>
    </row>
    <row r="15" spans="1:13" ht="24.75" customHeight="1">
      <c r="D15" s="29" t="s">
        <v>166</v>
      </c>
      <c r="F15" s="55"/>
      <c r="G15" s="55"/>
      <c r="H15" s="55"/>
      <c r="I15" s="55"/>
      <c r="J15" s="55"/>
      <c r="K15" s="88"/>
    </row>
    <row r="16" spans="1:13" ht="24.75" customHeight="1">
      <c r="B16" s="29">
        <v>4</v>
      </c>
      <c r="C16" t="s">
        <v>158</v>
      </c>
      <c r="D16" t="s">
        <v>167</v>
      </c>
      <c r="E16" t="s">
        <v>163</v>
      </c>
      <c r="F16" s="54">
        <v>3571.56</v>
      </c>
      <c r="G16" s="139">
        <v>964.44</v>
      </c>
      <c r="H16" s="139">
        <v>0</v>
      </c>
      <c r="I16" s="139">
        <v>0</v>
      </c>
      <c r="J16" s="139">
        <f>F16+G16-H16-I16</f>
        <v>4536</v>
      </c>
      <c r="K16" s="159"/>
    </row>
    <row r="17" spans="1:17" ht="24.75" customHeight="1">
      <c r="F17" s="55">
        <f>+F16</f>
        <v>3571.56</v>
      </c>
      <c r="G17" s="55">
        <f>+G16</f>
        <v>964.44</v>
      </c>
      <c r="H17" s="55">
        <f>+H16</f>
        <v>0</v>
      </c>
      <c r="I17" s="55">
        <f>+I16</f>
        <v>0</v>
      </c>
      <c r="J17" s="55">
        <f>+J16</f>
        <v>4536</v>
      </c>
      <c r="K17" s="88"/>
    </row>
    <row r="18" spans="1:17" ht="18.75">
      <c r="D18" s="29" t="s">
        <v>168</v>
      </c>
      <c r="K18" s="88"/>
    </row>
    <row r="19" spans="1:17" ht="45" customHeight="1">
      <c r="B19" s="29">
        <v>5</v>
      </c>
      <c r="C19" t="s">
        <v>158</v>
      </c>
      <c r="D19" t="s">
        <v>169</v>
      </c>
      <c r="E19" t="s">
        <v>170</v>
      </c>
      <c r="F19" s="104">
        <v>3969</v>
      </c>
      <c r="G19" s="106">
        <v>529</v>
      </c>
      <c r="H19" s="106">
        <v>0</v>
      </c>
      <c r="I19" s="109">
        <v>0</v>
      </c>
      <c r="J19" s="39">
        <f>F19+G19-H19-I19</f>
        <v>4498</v>
      </c>
      <c r="K19" s="140"/>
    </row>
    <row r="20" spans="1:17" s="42" customFormat="1" ht="45" customHeight="1">
      <c r="A20" s="29" t="s">
        <v>171</v>
      </c>
      <c r="B20" s="29">
        <v>6</v>
      </c>
      <c r="C20" t="s">
        <v>158</v>
      </c>
      <c r="D20" t="s">
        <v>172</v>
      </c>
      <c r="E20" t="s">
        <v>173</v>
      </c>
      <c r="F20" s="104">
        <v>3005.1</v>
      </c>
      <c r="G20" s="106">
        <v>0</v>
      </c>
      <c r="H20" s="106"/>
      <c r="I20" s="109"/>
      <c r="J20" s="39">
        <f>F20+G20-H20-I20</f>
        <v>3005.1</v>
      </c>
      <c r="K20" s="160"/>
      <c r="L20" s="283">
        <v>45008</v>
      </c>
      <c r="M20" s="42" t="s">
        <v>174</v>
      </c>
      <c r="N20" s="42" t="s">
        <v>175</v>
      </c>
    </row>
    <row r="21" spans="1:17" s="42" customFormat="1" ht="45" customHeight="1">
      <c r="A21" s="29" t="s">
        <v>171</v>
      </c>
      <c r="B21" s="29">
        <v>7</v>
      </c>
      <c r="C21" t="s">
        <v>158</v>
      </c>
      <c r="D21" t="s">
        <v>176</v>
      </c>
      <c r="E21" t="s">
        <v>177</v>
      </c>
      <c r="F21" s="104">
        <v>3969</v>
      </c>
      <c r="G21" s="106"/>
      <c r="H21" s="106"/>
      <c r="I21" s="109">
        <v>0</v>
      </c>
      <c r="J21" s="39">
        <f>F21+G21-H21-I21</f>
        <v>3969</v>
      </c>
      <c r="K21" s="160"/>
    </row>
    <row r="22" spans="1:17" s="42" customFormat="1" ht="45" customHeight="1">
      <c r="A22" s="29" t="s">
        <v>171</v>
      </c>
      <c r="B22" s="29">
        <v>8</v>
      </c>
      <c r="C22" t="s">
        <v>158</v>
      </c>
      <c r="D22" t="s">
        <v>178</v>
      </c>
      <c r="E22" t="s">
        <v>179</v>
      </c>
      <c r="F22" s="104">
        <v>3402</v>
      </c>
      <c r="G22" s="106"/>
      <c r="H22" s="106"/>
      <c r="I22" s="109">
        <v>0</v>
      </c>
      <c r="J22" s="39">
        <f>F22+G22-H22-I22</f>
        <v>3402</v>
      </c>
      <c r="K22" s="160"/>
    </row>
    <row r="23" spans="1:17" s="42" customFormat="1" ht="45" customHeight="1">
      <c r="A23" s="29" t="s">
        <v>171</v>
      </c>
      <c r="B23" s="29">
        <v>9</v>
      </c>
      <c r="C23" t="s">
        <v>158</v>
      </c>
      <c r="D23" t="s">
        <v>180</v>
      </c>
      <c r="E23" t="s">
        <v>52</v>
      </c>
      <c r="F23" s="104">
        <v>3742.2</v>
      </c>
      <c r="G23" s="106">
        <v>1243</v>
      </c>
      <c r="H23" s="106"/>
      <c r="I23" s="109">
        <v>0</v>
      </c>
      <c r="J23" s="39">
        <f>F23+G23-H23-I23</f>
        <v>4985.2</v>
      </c>
      <c r="K23" s="160"/>
    </row>
    <row r="24" spans="1:17" ht="46.5" customHeight="1">
      <c r="B24" s="29">
        <v>10</v>
      </c>
      <c r="C24" t="s">
        <v>158</v>
      </c>
      <c r="D24" t="s">
        <v>181</v>
      </c>
      <c r="E24" t="s">
        <v>182</v>
      </c>
      <c r="F24" s="104">
        <v>3750.1379999999999</v>
      </c>
      <c r="G24" s="106"/>
      <c r="H24" s="106"/>
      <c r="I24" s="109">
        <v>0</v>
      </c>
      <c r="J24" s="39">
        <f>+F24+G24-H24-I24</f>
        <v>3750.1379999999999</v>
      </c>
      <c r="K24" s="140"/>
    </row>
    <row r="25" spans="1:17" ht="49.5" customHeight="1">
      <c r="B25" s="29">
        <v>11</v>
      </c>
      <c r="C25" t="s">
        <v>158</v>
      </c>
      <c r="D25" t="s">
        <v>183</v>
      </c>
      <c r="E25" t="s">
        <v>182</v>
      </c>
      <c r="F25" s="99">
        <v>2404.08</v>
      </c>
      <c r="G25" s="103">
        <v>0</v>
      </c>
      <c r="H25" s="103">
        <v>0</v>
      </c>
      <c r="I25" s="103">
        <v>0</v>
      </c>
      <c r="J25" s="54">
        <f>F25+G25-H25-I25</f>
        <v>2404.08</v>
      </c>
      <c r="K25" s="140"/>
    </row>
    <row r="26" spans="1:17" ht="28.5" customHeight="1">
      <c r="F26" s="109">
        <f>SUM(F19:F25)</f>
        <v>24241.517999999996</v>
      </c>
      <c r="G26" s="106">
        <f>SUM(G19:G25)</f>
        <v>1772</v>
      </c>
      <c r="H26" s="106">
        <f>SUM(H19:H25)</f>
        <v>0</v>
      </c>
      <c r="I26" s="109">
        <f>SUM(I19:I25)</f>
        <v>0</v>
      </c>
      <c r="J26" s="55">
        <f>SUM(J19:J25)</f>
        <v>26013.517999999996</v>
      </c>
      <c r="K26" s="88"/>
    </row>
    <row r="27" spans="1:17" ht="31.5" customHeight="1">
      <c r="D27" s="29" t="s">
        <v>184</v>
      </c>
      <c r="F27" s="109"/>
      <c r="G27" s="106"/>
      <c r="H27" s="106"/>
      <c r="I27" s="109"/>
      <c r="J27" s="29" t="s">
        <v>527</v>
      </c>
      <c r="K27" s="138"/>
      <c r="L27" s="44"/>
      <c r="M27" s="44"/>
      <c r="Q27" t="e">
        <f>+#REF!/15*10</f>
        <v>#REF!</v>
      </c>
    </row>
    <row r="28" spans="1:17" ht="31.5" customHeight="1">
      <c r="A28" s="29" t="s">
        <v>20</v>
      </c>
      <c r="B28" s="29">
        <v>12</v>
      </c>
      <c r="C28" t="s">
        <v>158</v>
      </c>
      <c r="D28" s="152" t="s">
        <v>185</v>
      </c>
      <c r="E28" s="152" t="s">
        <v>163</v>
      </c>
      <c r="F28" s="104">
        <v>3852.2190000000001</v>
      </c>
      <c r="G28" s="153"/>
      <c r="H28" s="106"/>
      <c r="I28" s="109"/>
      <c r="J28" s="39">
        <f>F28+G28-H28-I28</f>
        <v>3852.2190000000001</v>
      </c>
      <c r="K28" s="140"/>
      <c r="L28" s="44"/>
      <c r="M28" s="44"/>
    </row>
    <row r="29" spans="1:17" ht="55.5" customHeight="1">
      <c r="B29" s="29">
        <v>13</v>
      </c>
      <c r="C29" t="s">
        <v>158</v>
      </c>
      <c r="D29" s="152" t="s">
        <v>186</v>
      </c>
      <c r="E29" s="152" t="s">
        <v>187</v>
      </c>
      <c r="F29" s="104">
        <v>3005.1</v>
      </c>
      <c r="G29" s="106">
        <v>0</v>
      </c>
      <c r="H29" s="106"/>
      <c r="I29" s="109">
        <v>300</v>
      </c>
      <c r="J29" s="39">
        <f>F29+G29-H29-I29</f>
        <v>2705.1</v>
      </c>
      <c r="K29" s="140"/>
      <c r="L29" s="44"/>
      <c r="M29" s="44"/>
    </row>
    <row r="30" spans="1:17" ht="54.75" customHeight="1">
      <c r="B30" s="29">
        <v>14</v>
      </c>
      <c r="C30" t="s">
        <v>158</v>
      </c>
      <c r="D30" s="152" t="s">
        <v>188</v>
      </c>
      <c r="E30" s="152" t="s">
        <v>189</v>
      </c>
      <c r="F30" s="99">
        <v>2163.672</v>
      </c>
      <c r="G30" s="101">
        <f>SUM(G29)</f>
        <v>0</v>
      </c>
      <c r="H30" s="101"/>
      <c r="I30" s="103">
        <v>0</v>
      </c>
      <c r="J30" s="54">
        <f>F30+G30-H30-I30</f>
        <v>2163.672</v>
      </c>
      <c r="K30" s="140"/>
      <c r="L30" s="44"/>
      <c r="M30" s="44"/>
    </row>
    <row r="31" spans="1:17" ht="25.5" customHeight="1">
      <c r="D31" s="303" t="s">
        <v>1</v>
      </c>
      <c r="E31" s="303"/>
      <c r="F31" s="303"/>
      <c r="G31" s="106"/>
      <c r="H31" s="106"/>
      <c r="I31" s="109"/>
      <c r="J31" s="39"/>
      <c r="K31" s="158"/>
      <c r="L31" s="44"/>
      <c r="M31" s="44"/>
    </row>
    <row r="32" spans="1:17" ht="25.5" customHeight="1">
      <c r="D32" s="301" t="s">
        <v>529</v>
      </c>
      <c r="E32" s="301"/>
      <c r="F32" s="301"/>
      <c r="G32" s="301"/>
      <c r="H32" s="106"/>
      <c r="I32" s="109"/>
      <c r="J32" s="29" t="s">
        <v>527</v>
      </c>
      <c r="K32" s="158"/>
      <c r="L32" s="44"/>
      <c r="M32" s="44"/>
    </row>
    <row r="33" spans="1:13" ht="33" customHeight="1">
      <c r="C33" s="150" t="s">
        <v>3</v>
      </c>
      <c r="D33" s="150"/>
      <c r="E33" s="150"/>
      <c r="F33" s="150" t="s">
        <v>153</v>
      </c>
      <c r="G33" s="150" t="s">
        <v>154</v>
      </c>
      <c r="H33" s="150" t="s">
        <v>155</v>
      </c>
      <c r="I33" s="229" t="s">
        <v>341</v>
      </c>
      <c r="J33" s="150" t="s">
        <v>156</v>
      </c>
      <c r="K33" s="158"/>
      <c r="L33" s="44"/>
      <c r="M33" s="44"/>
    </row>
    <row r="34" spans="1:13" ht="26.25" customHeight="1">
      <c r="C34" s="154"/>
      <c r="D34" s="29" t="s">
        <v>184</v>
      </c>
      <c r="E34" s="154"/>
      <c r="F34" s="154"/>
      <c r="G34" s="154"/>
      <c r="H34" s="154"/>
      <c r="I34" s="154"/>
      <c r="J34" s="154"/>
      <c r="K34" s="158"/>
      <c r="L34" s="44"/>
      <c r="M34" s="44"/>
    </row>
    <row r="35" spans="1:13" ht="26.25" customHeight="1">
      <c r="C35" s="154"/>
      <c r="D35" s="29"/>
      <c r="E35" s="154"/>
      <c r="F35" s="154"/>
      <c r="G35" s="154"/>
      <c r="H35" s="154"/>
      <c r="I35" s="154"/>
      <c r="J35" s="154"/>
      <c r="K35" s="158"/>
      <c r="L35" s="44"/>
      <c r="M35" s="44"/>
    </row>
    <row r="36" spans="1:13" ht="39.75" customHeight="1">
      <c r="B36" s="29">
        <v>15</v>
      </c>
      <c r="C36" t="s">
        <v>158</v>
      </c>
      <c r="D36" t="s">
        <v>190</v>
      </c>
      <c r="E36" t="s">
        <v>61</v>
      </c>
      <c r="F36" s="104">
        <v>2644.4879999999998</v>
      </c>
      <c r="G36" s="106"/>
      <c r="H36" s="106"/>
      <c r="I36" s="109"/>
      <c r="J36" s="39">
        <f>+F36+G36-H36-I36</f>
        <v>2644.4879999999998</v>
      </c>
      <c r="K36" s="140"/>
      <c r="L36" s="44"/>
      <c r="M36" s="44"/>
    </row>
    <row r="37" spans="1:13" ht="39.75" customHeight="1">
      <c r="B37" s="29">
        <v>16</v>
      </c>
      <c r="C37" t="s">
        <v>158</v>
      </c>
      <c r="D37" t="s">
        <v>191</v>
      </c>
      <c r="E37" t="s">
        <v>61</v>
      </c>
      <c r="F37" s="104">
        <v>2644.4879999999998</v>
      </c>
      <c r="G37" s="106"/>
      <c r="H37" s="106"/>
      <c r="I37" s="109"/>
      <c r="J37" s="39">
        <f>F37+G37-H37-I37</f>
        <v>2644.4879999999998</v>
      </c>
      <c r="K37" s="140"/>
      <c r="L37" s="44"/>
      <c r="M37" s="44"/>
    </row>
    <row r="38" spans="1:13" ht="51.75" hidden="1" customHeight="1">
      <c r="F38" s="104">
        <v>0</v>
      </c>
      <c r="G38" s="106"/>
      <c r="H38" s="106"/>
      <c r="I38" s="109"/>
      <c r="J38" s="39"/>
      <c r="K38" s="140"/>
      <c r="L38" s="44"/>
      <c r="M38" s="44"/>
    </row>
    <row r="39" spans="1:13" ht="51.75" customHeight="1">
      <c r="B39" s="29">
        <v>17</v>
      </c>
      <c r="C39" t="s">
        <v>158</v>
      </c>
      <c r="D39" t="s">
        <v>192</v>
      </c>
      <c r="E39" t="s">
        <v>193</v>
      </c>
      <c r="F39" s="104">
        <v>1701</v>
      </c>
      <c r="G39" s="106">
        <v>0</v>
      </c>
      <c r="H39" s="106">
        <v>0</v>
      </c>
      <c r="I39" s="109">
        <v>0</v>
      </c>
      <c r="J39" s="39">
        <f>F39+G39-H39-I39</f>
        <v>1701</v>
      </c>
      <c r="K39" s="140"/>
      <c r="L39" s="44"/>
      <c r="M39" s="44"/>
    </row>
    <row r="40" spans="1:13" ht="51.75" customHeight="1">
      <c r="B40" s="29">
        <v>18</v>
      </c>
      <c r="C40" t="s">
        <v>158</v>
      </c>
      <c r="D40" t="s">
        <v>194</v>
      </c>
      <c r="E40" t="s">
        <v>195</v>
      </c>
      <c r="F40" s="104">
        <v>3402</v>
      </c>
      <c r="G40" s="106">
        <v>0</v>
      </c>
      <c r="H40" s="106">
        <v>0</v>
      </c>
      <c r="I40" s="109">
        <v>0</v>
      </c>
      <c r="J40" s="39">
        <f>F40+G40-H40-I40</f>
        <v>3402</v>
      </c>
      <c r="K40" s="140"/>
      <c r="L40" s="44"/>
      <c r="M40" s="44"/>
    </row>
    <row r="41" spans="1:13" ht="45" customHeight="1">
      <c r="B41" s="29">
        <v>19</v>
      </c>
      <c r="C41" t="s">
        <v>158</v>
      </c>
      <c r="D41" t="s">
        <v>196</v>
      </c>
      <c r="E41" t="s">
        <v>197</v>
      </c>
      <c r="F41" s="104">
        <v>2644.4879999999998</v>
      </c>
      <c r="G41" s="106"/>
      <c r="H41" s="106">
        <v>0</v>
      </c>
      <c r="I41" s="109"/>
      <c r="J41" s="39">
        <f>F41+G41-H41-I41</f>
        <v>2644.4879999999998</v>
      </c>
      <c r="K41" s="140"/>
      <c r="L41" s="44"/>
      <c r="M41" s="44"/>
    </row>
    <row r="42" spans="1:13" ht="43.5" customHeight="1">
      <c r="B42" s="29">
        <v>20</v>
      </c>
      <c r="C42" t="s">
        <v>158</v>
      </c>
      <c r="D42" t="s">
        <v>198</v>
      </c>
      <c r="E42" t="s">
        <v>199</v>
      </c>
      <c r="F42" s="104">
        <v>3606.12</v>
      </c>
      <c r="G42" s="106"/>
      <c r="H42" s="106">
        <v>0</v>
      </c>
      <c r="I42" s="109">
        <v>0</v>
      </c>
      <c r="J42" s="39">
        <f>F42+G42-H42-I42</f>
        <v>3606.12</v>
      </c>
      <c r="K42" s="140"/>
      <c r="L42" s="44"/>
      <c r="M42" s="44"/>
    </row>
    <row r="43" spans="1:13" ht="46.5" customHeight="1">
      <c r="B43" s="29">
        <v>21</v>
      </c>
      <c r="C43" t="s">
        <v>158</v>
      </c>
      <c r="D43" t="s">
        <v>200</v>
      </c>
      <c r="E43" t="s">
        <v>193</v>
      </c>
      <c r="F43" s="104">
        <v>1134</v>
      </c>
      <c r="G43" s="106">
        <v>0</v>
      </c>
      <c r="H43" s="106"/>
      <c r="I43" s="109"/>
      <c r="J43" s="39">
        <f t="shared" ref="J43:J55" si="0">F43+G43-H43-I43</f>
        <v>1134</v>
      </c>
      <c r="K43" s="140"/>
      <c r="L43" s="44"/>
      <c r="M43" s="44"/>
    </row>
    <row r="44" spans="1:13" ht="51" customHeight="1">
      <c r="B44" s="29">
        <v>22</v>
      </c>
      <c r="C44" t="s">
        <v>158</v>
      </c>
      <c r="D44" t="s">
        <v>201</v>
      </c>
      <c r="E44" t="s">
        <v>202</v>
      </c>
      <c r="F44" s="104">
        <v>2884.8960000000002</v>
      </c>
      <c r="G44" s="106">
        <v>0</v>
      </c>
      <c r="H44" s="106">
        <v>0</v>
      </c>
      <c r="I44" s="109">
        <v>0</v>
      </c>
      <c r="J44" s="39">
        <f t="shared" si="0"/>
        <v>2884.8960000000002</v>
      </c>
      <c r="K44" s="140"/>
      <c r="L44" s="44"/>
      <c r="M44" s="44"/>
    </row>
    <row r="45" spans="1:13" ht="51" customHeight="1">
      <c r="A45" s="29" t="s">
        <v>203</v>
      </c>
      <c r="B45" s="29">
        <v>23</v>
      </c>
      <c r="C45" t="s">
        <v>158</v>
      </c>
      <c r="D45" t="s">
        <v>204</v>
      </c>
      <c r="E45" t="s">
        <v>163</v>
      </c>
      <c r="F45" s="104">
        <v>3125.3040000000001</v>
      </c>
      <c r="G45" s="106"/>
      <c r="H45" s="106">
        <v>0</v>
      </c>
      <c r="I45" s="109"/>
      <c r="J45" s="39">
        <f t="shared" si="0"/>
        <v>3125.3040000000001</v>
      </c>
      <c r="K45" s="140"/>
      <c r="L45" s="44"/>
      <c r="M45" s="44"/>
    </row>
    <row r="46" spans="1:13" s="42" customFormat="1" ht="51" customHeight="1">
      <c r="A46" s="29" t="s">
        <v>171</v>
      </c>
      <c r="B46" s="29">
        <v>24</v>
      </c>
      <c r="C46" t="s">
        <v>158</v>
      </c>
      <c r="D46" t="s">
        <v>205</v>
      </c>
      <c r="E46" t="s">
        <v>61</v>
      </c>
      <c r="F46" s="104">
        <v>2644.4879999999998</v>
      </c>
      <c r="G46" s="106">
        <f>F46/15*2</f>
        <v>352.59839999999997</v>
      </c>
      <c r="H46" s="106"/>
      <c r="I46" s="109"/>
      <c r="J46" s="39">
        <f t="shared" si="0"/>
        <v>2997.0863999999997</v>
      </c>
      <c r="K46" s="160"/>
      <c r="L46" s="141"/>
      <c r="M46" s="141"/>
    </row>
    <row r="47" spans="1:13" s="42" customFormat="1" ht="51" customHeight="1">
      <c r="A47" s="29" t="s">
        <v>171</v>
      </c>
      <c r="B47" s="29">
        <v>25</v>
      </c>
      <c r="C47" t="s">
        <v>158</v>
      </c>
      <c r="D47" t="s">
        <v>206</v>
      </c>
      <c r="E47" t="s">
        <v>207</v>
      </c>
      <c r="F47" s="104">
        <v>2404.08</v>
      </c>
      <c r="G47" s="106"/>
      <c r="H47" s="106"/>
      <c r="I47" s="109"/>
      <c r="J47" s="39">
        <f t="shared" si="0"/>
        <v>2404.08</v>
      </c>
      <c r="K47" s="143"/>
      <c r="L47" s="141"/>
      <c r="M47" s="141"/>
    </row>
    <row r="48" spans="1:13" s="42" customFormat="1" ht="51" customHeight="1">
      <c r="A48" s="29"/>
      <c r="B48" s="29"/>
      <c r="C48"/>
      <c r="D48"/>
      <c r="E48"/>
      <c r="F48" s="104"/>
      <c r="G48" s="106"/>
      <c r="H48" s="106"/>
      <c r="I48" s="109"/>
      <c r="J48" s="29" t="s">
        <v>527</v>
      </c>
      <c r="K48" s="161"/>
      <c r="L48" s="141"/>
      <c r="M48" s="141"/>
    </row>
    <row r="49" spans="1:14" s="42" customFormat="1" ht="51" customHeight="1">
      <c r="A49" s="29" t="s">
        <v>171</v>
      </c>
      <c r="B49" s="29">
        <v>26</v>
      </c>
      <c r="C49" t="s">
        <v>158</v>
      </c>
      <c r="D49" t="s">
        <v>208</v>
      </c>
      <c r="E49" t="s">
        <v>61</v>
      </c>
      <c r="F49" s="104">
        <v>2404.08</v>
      </c>
      <c r="G49" s="106"/>
      <c r="H49" s="106"/>
      <c r="I49" s="109"/>
      <c r="J49" s="39">
        <f t="shared" si="0"/>
        <v>2404.08</v>
      </c>
      <c r="K49" s="160"/>
      <c r="L49" s="141"/>
      <c r="M49" s="141"/>
    </row>
    <row r="50" spans="1:14" s="42" customFormat="1" ht="51" customHeight="1">
      <c r="A50" s="29" t="s">
        <v>209</v>
      </c>
      <c r="B50" s="29">
        <v>27</v>
      </c>
      <c r="C50" t="str">
        <f>+C49</f>
        <v>5.1.1.2.0-122-401-00</v>
      </c>
      <c r="D50" t="s">
        <v>210</v>
      </c>
      <c r="E50" t="s">
        <v>61</v>
      </c>
      <c r="F50" s="104">
        <v>2644.4879999999998</v>
      </c>
      <c r="G50" s="106"/>
      <c r="H50" s="106"/>
      <c r="I50" s="109"/>
      <c r="J50" s="39">
        <f t="shared" si="0"/>
        <v>2644.4879999999998</v>
      </c>
      <c r="K50" s="160"/>
      <c r="L50" s="141"/>
      <c r="M50" s="141"/>
    </row>
    <row r="51" spans="1:14" s="42" customFormat="1" ht="51" customHeight="1">
      <c r="A51" s="29" t="s">
        <v>171</v>
      </c>
      <c r="B51" s="29">
        <v>28</v>
      </c>
      <c r="C51" t="s">
        <v>158</v>
      </c>
      <c r="D51" t="s">
        <v>211</v>
      </c>
      <c r="E51" t="s">
        <v>61</v>
      </c>
      <c r="F51" s="104">
        <v>2041.2</v>
      </c>
      <c r="G51" s="106"/>
      <c r="H51" s="106">
        <v>0</v>
      </c>
      <c r="I51" s="109"/>
      <c r="J51" s="39">
        <f t="shared" si="0"/>
        <v>2041.2</v>
      </c>
      <c r="K51" s="160"/>
      <c r="L51" s="141"/>
      <c r="M51" s="141"/>
    </row>
    <row r="52" spans="1:14" s="42" customFormat="1" ht="51" customHeight="1">
      <c r="A52" s="29" t="s">
        <v>171</v>
      </c>
      <c r="B52" s="29">
        <v>29</v>
      </c>
      <c r="C52" t="s">
        <v>158</v>
      </c>
      <c r="D52" t="s">
        <v>212</v>
      </c>
      <c r="E52" t="s">
        <v>213</v>
      </c>
      <c r="F52" s="104">
        <v>2903.04</v>
      </c>
      <c r="G52" s="106"/>
      <c r="H52" s="106"/>
      <c r="I52" s="109"/>
      <c r="J52" s="39">
        <f t="shared" si="0"/>
        <v>2903.04</v>
      </c>
      <c r="K52" s="160"/>
      <c r="L52" s="141"/>
      <c r="M52" s="141"/>
    </row>
    <row r="53" spans="1:14" s="42" customFormat="1" ht="51" customHeight="1">
      <c r="A53" s="29" t="s">
        <v>171</v>
      </c>
      <c r="B53" s="29">
        <v>30</v>
      </c>
      <c r="C53" t="s">
        <v>158</v>
      </c>
      <c r="D53" t="s">
        <v>214</v>
      </c>
      <c r="E53" t="s">
        <v>61</v>
      </c>
      <c r="F53" s="104">
        <v>2404.08</v>
      </c>
      <c r="G53" s="106"/>
      <c r="H53" s="106"/>
      <c r="I53" s="109"/>
      <c r="J53" s="39">
        <f t="shared" si="0"/>
        <v>2404.08</v>
      </c>
      <c r="K53" s="160"/>
      <c r="L53" s="141"/>
      <c r="M53" s="141"/>
    </row>
    <row r="54" spans="1:14" s="42" customFormat="1" ht="51" customHeight="1">
      <c r="A54" s="29"/>
      <c r="B54" s="29">
        <v>31</v>
      </c>
      <c r="C54" t="s">
        <v>158</v>
      </c>
      <c r="D54" t="s">
        <v>215</v>
      </c>
      <c r="E54" t="s">
        <v>207</v>
      </c>
      <c r="F54" s="104">
        <v>3097.5</v>
      </c>
      <c r="G54" s="106"/>
      <c r="H54" s="106"/>
      <c r="I54" s="109"/>
      <c r="J54" s="39">
        <f t="shared" si="0"/>
        <v>3097.5</v>
      </c>
      <c r="K54" s="160"/>
      <c r="L54" s="141"/>
      <c r="M54" s="141"/>
    </row>
    <row r="55" spans="1:14" s="42" customFormat="1" ht="51" customHeight="1">
      <c r="A55" s="29"/>
      <c r="B55" s="29">
        <v>32</v>
      </c>
      <c r="C55" t="s">
        <v>158</v>
      </c>
      <c r="D55" t="s">
        <v>216</v>
      </c>
      <c r="E55" t="s">
        <v>217</v>
      </c>
      <c r="F55" s="104">
        <v>3150</v>
      </c>
      <c r="G55" s="105"/>
      <c r="H55" s="106"/>
      <c r="I55" s="109"/>
      <c r="J55" s="39">
        <f t="shared" si="0"/>
        <v>3150</v>
      </c>
      <c r="K55" s="160"/>
      <c r="L55" s="141"/>
      <c r="M55" s="141"/>
    </row>
    <row r="56" spans="1:14" s="42" customFormat="1" ht="51" customHeight="1">
      <c r="A56" s="29"/>
      <c r="B56" s="29">
        <v>33</v>
      </c>
      <c r="C56" t="s">
        <v>158</v>
      </c>
      <c r="D56" t="s">
        <v>218</v>
      </c>
      <c r="E56" t="s">
        <v>213</v>
      </c>
      <c r="F56" s="104"/>
      <c r="G56" s="106">
        <v>0</v>
      </c>
      <c r="H56" s="106">
        <v>0</v>
      </c>
      <c r="I56" s="109">
        <v>0</v>
      </c>
      <c r="J56" s="39">
        <v>0</v>
      </c>
      <c r="K56" s="160"/>
      <c r="L56" s="141"/>
      <c r="M56" s="141"/>
    </row>
    <row r="57" spans="1:14" s="42" customFormat="1" ht="51" customHeight="1">
      <c r="A57" s="29"/>
      <c r="B57" s="29">
        <v>34</v>
      </c>
      <c r="C57" t="s">
        <v>158</v>
      </c>
      <c r="D57" t="s">
        <v>219</v>
      </c>
      <c r="E57" t="s">
        <v>220</v>
      </c>
      <c r="F57" s="104">
        <v>3000</v>
      </c>
      <c r="G57" s="106"/>
      <c r="H57" s="106"/>
      <c r="I57" s="109"/>
      <c r="J57" s="39">
        <f>F57+G57-H57-I57</f>
        <v>3000</v>
      </c>
      <c r="K57" s="160"/>
      <c r="L57" s="141"/>
      <c r="M57" s="141"/>
    </row>
    <row r="58" spans="1:14" s="42" customFormat="1" ht="51" customHeight="1">
      <c r="A58" s="29"/>
      <c r="B58" s="29">
        <v>35</v>
      </c>
      <c r="C58" t="s">
        <v>158</v>
      </c>
      <c r="D58" t="s">
        <v>221</v>
      </c>
      <c r="E58" t="s">
        <v>220</v>
      </c>
      <c r="F58" s="104">
        <v>3000</v>
      </c>
      <c r="G58" s="106"/>
      <c r="H58" s="106"/>
      <c r="I58" s="109"/>
      <c r="J58" s="39">
        <f>F58+G58-H58-I58</f>
        <v>3000</v>
      </c>
      <c r="K58" s="160"/>
      <c r="L58" s="141"/>
      <c r="M58" s="141"/>
    </row>
    <row r="59" spans="1:14" ht="55.5" customHeight="1">
      <c r="B59" s="29">
        <v>36</v>
      </c>
      <c r="C59" t="s">
        <v>158</v>
      </c>
      <c r="D59" t="s">
        <v>222</v>
      </c>
      <c r="E59" t="s">
        <v>223</v>
      </c>
      <c r="F59" s="99"/>
      <c r="G59" s="101">
        <v>0</v>
      </c>
      <c r="H59" s="101"/>
      <c r="I59" s="103">
        <v>0</v>
      </c>
      <c r="J59" s="54">
        <f>F59+G59-H59-I59</f>
        <v>0</v>
      </c>
      <c r="K59" s="140"/>
      <c r="L59" s="44"/>
      <c r="M59" s="44"/>
    </row>
    <row r="60" spans="1:14" ht="26.25" customHeight="1">
      <c r="F60" s="85">
        <f>F28+F29+F30+F36+F37+F39+F40+F41+F42+F43+F44+F45+F46+F47+F49+F50+F51+F52+F53+F54+F55+F56+F57+F58+F59</f>
        <v>62500.730999999992</v>
      </c>
      <c r="G60" s="85">
        <f>G28+G29+G30+G36+G37+G39+G40+G41+G42+G43+G44+G45+G46+G47+G49+G50+G51+G52+G53+G59+G54+G55</f>
        <v>352.59839999999997</v>
      </c>
      <c r="H60" s="85">
        <f>H28+H29+H30+H36+H37+H39+H40+H41+H42+H43+H44+H45+H46+H47+H49+H50+H51+H52+H53+H59+H54+H55</f>
        <v>0</v>
      </c>
      <c r="I60" s="85">
        <f>I28+I29+I30+I36+I37+I39+I40+I41+I42+I43+I44+I45+I46+I47+I49+I50+I51+I52+I53+I59+I54+I55</f>
        <v>300</v>
      </c>
      <c r="J60" s="85">
        <f>J28+J29+J30+J36+J37+J39+J40+J41+J42+J43+J44+J45+J46+J47+J49+J50+J51+J52+J53+J5+J54+J55+J56+J57+J58</f>
        <v>62553.329399999995</v>
      </c>
      <c r="K60" s="138"/>
      <c r="L60" s="44"/>
      <c r="M60" s="44"/>
      <c r="N60" s="20"/>
    </row>
    <row r="61" spans="1:14" ht="18.75" customHeight="1">
      <c r="D61" s="29" t="s">
        <v>224</v>
      </c>
      <c r="F61" s="85"/>
      <c r="G61" s="85"/>
      <c r="H61" s="85"/>
      <c r="J61" s="85"/>
      <c r="K61" s="138"/>
      <c r="L61" s="44"/>
      <c r="M61" s="44"/>
      <c r="N61" s="20"/>
    </row>
    <row r="62" spans="1:14" ht="72.75" customHeight="1">
      <c r="B62" s="29">
        <v>37</v>
      </c>
      <c r="C62" t="s">
        <v>158</v>
      </c>
      <c r="D62" t="s">
        <v>225</v>
      </c>
      <c r="E62" t="s">
        <v>226</v>
      </c>
      <c r="F62" s="97">
        <v>7500.8429999999998</v>
      </c>
      <c r="G62" s="85"/>
      <c r="H62" s="85">
        <v>0</v>
      </c>
      <c r="I62" s="85">
        <v>500</v>
      </c>
      <c r="J62" s="97">
        <f>F62+G62-H62-I62</f>
        <v>7000.8429999999998</v>
      </c>
      <c r="K62" s="140"/>
      <c r="L62" s="141" t="s">
        <v>227</v>
      </c>
      <c r="M62" s="141"/>
      <c r="N62" s="20"/>
    </row>
    <row r="63" spans="1:14" ht="50.25" hidden="1" customHeight="1">
      <c r="F63" s="97">
        <v>0</v>
      </c>
      <c r="G63" s="85"/>
      <c r="H63" s="85">
        <v>0</v>
      </c>
      <c r="I63" s="85">
        <v>0</v>
      </c>
      <c r="J63" s="97"/>
      <c r="K63" s="158"/>
      <c r="L63" s="44"/>
      <c r="M63" s="44"/>
      <c r="N63" s="20"/>
    </row>
    <row r="64" spans="1:14" ht="34.5" customHeight="1">
      <c r="B64" s="29">
        <v>38</v>
      </c>
      <c r="C64" t="s">
        <v>158</v>
      </c>
      <c r="D64" t="s">
        <v>228</v>
      </c>
      <c r="E64" t="s">
        <v>229</v>
      </c>
      <c r="F64" s="97">
        <v>5250</v>
      </c>
      <c r="G64" s="85"/>
      <c r="H64" s="85"/>
      <c r="I64" s="85">
        <v>0</v>
      </c>
      <c r="J64" s="97">
        <f>F64+G64-H64-I64</f>
        <v>5250</v>
      </c>
      <c r="K64" s="140"/>
      <c r="L64" s="44"/>
      <c r="M64" s="44"/>
      <c r="N64" s="20"/>
    </row>
    <row r="65" spans="1:16" ht="43.5" customHeight="1">
      <c r="B65" s="29">
        <v>39</v>
      </c>
      <c r="C65" t="s">
        <v>158</v>
      </c>
      <c r="D65" t="s">
        <v>230</v>
      </c>
      <c r="E65" t="s">
        <v>231</v>
      </c>
      <c r="F65" s="99">
        <v>5103</v>
      </c>
      <c r="G65" s="103">
        <f>1700+250</f>
        <v>1950</v>
      </c>
      <c r="H65" s="103">
        <v>0</v>
      </c>
      <c r="I65" s="103">
        <v>500</v>
      </c>
      <c r="J65" s="99">
        <f>F65+G65-H65-I65</f>
        <v>6553</v>
      </c>
      <c r="K65" s="140"/>
      <c r="L65" s="44"/>
      <c r="M65" s="44"/>
      <c r="N65" s="20"/>
    </row>
    <row r="66" spans="1:16" ht="26.25" customHeight="1">
      <c r="F66" s="85">
        <f>SUM(F62:F65)</f>
        <v>17853.843000000001</v>
      </c>
      <c r="G66" s="85">
        <f>SUM(G62:G65)</f>
        <v>1950</v>
      </c>
      <c r="H66" s="85">
        <f>SUM(H62:H65)</f>
        <v>0</v>
      </c>
      <c r="I66" s="85">
        <f>SUM(I62:I65)</f>
        <v>1000</v>
      </c>
      <c r="J66" s="85">
        <f>SUM(J62:J65)</f>
        <v>18803.843000000001</v>
      </c>
      <c r="K66" s="138"/>
      <c r="L66" s="44"/>
      <c r="M66" s="44"/>
      <c r="N66" s="20"/>
    </row>
    <row r="67" spans="1:16" ht="19.5" customHeight="1">
      <c r="D67" s="29" t="s">
        <v>36</v>
      </c>
      <c r="F67" s="104"/>
      <c r="G67" s="106"/>
      <c r="H67" s="106"/>
      <c r="I67" s="109"/>
      <c r="J67" s="39"/>
      <c r="K67" s="138"/>
      <c r="L67" s="44"/>
      <c r="M67" s="44"/>
      <c r="N67" s="20"/>
    </row>
    <row r="68" spans="1:16" ht="57" customHeight="1">
      <c r="B68" s="29">
        <v>40</v>
      </c>
      <c r="C68" t="s">
        <v>158</v>
      </c>
      <c r="D68" t="s">
        <v>232</v>
      </c>
      <c r="E68" t="s">
        <v>233</v>
      </c>
      <c r="F68" s="104">
        <v>5274.8576999999996</v>
      </c>
      <c r="G68" s="106"/>
      <c r="H68" s="106"/>
      <c r="I68" s="109"/>
      <c r="J68" s="39">
        <f t="shared" ref="J68:J75" si="1">F68+G68-H68-I68</f>
        <v>5274.8576999999996</v>
      </c>
      <c r="K68" s="140"/>
      <c r="L68" s="44"/>
      <c r="M68" s="44"/>
      <c r="N68" s="20"/>
    </row>
    <row r="69" spans="1:16" s="42" customFormat="1" ht="57" customHeight="1">
      <c r="A69" s="29" t="s">
        <v>171</v>
      </c>
      <c r="B69" s="29">
        <v>41</v>
      </c>
      <c r="C69" t="s">
        <v>158</v>
      </c>
      <c r="D69" t="s">
        <v>234</v>
      </c>
      <c r="E69" t="s">
        <v>235</v>
      </c>
      <c r="F69" s="104">
        <v>5443.2</v>
      </c>
      <c r="G69" s="106"/>
      <c r="H69" s="106">
        <f>F69/15*5</f>
        <v>1814.4</v>
      </c>
      <c r="I69" s="109">
        <v>0</v>
      </c>
      <c r="J69" s="39">
        <f t="shared" si="1"/>
        <v>3628.7999999999997</v>
      </c>
      <c r="K69" s="160"/>
      <c r="L69" s="141"/>
      <c r="M69" s="141"/>
      <c r="N69" s="84"/>
    </row>
    <row r="70" spans="1:16" s="42" customFormat="1" ht="57" customHeight="1">
      <c r="A70" s="29" t="s">
        <v>171</v>
      </c>
      <c r="B70" s="29">
        <v>42</v>
      </c>
      <c r="C70" t="s">
        <v>158</v>
      </c>
      <c r="D70" t="s">
        <v>236</v>
      </c>
      <c r="E70" t="s">
        <v>40</v>
      </c>
      <c r="F70" s="104">
        <v>3606.12</v>
      </c>
      <c r="G70" s="106">
        <v>721</v>
      </c>
      <c r="H70" s="106"/>
      <c r="I70" s="109"/>
      <c r="J70" s="39">
        <f t="shared" si="1"/>
        <v>4327.12</v>
      </c>
      <c r="K70" s="160"/>
      <c r="L70" s="141"/>
      <c r="M70" s="141"/>
      <c r="N70" s="84"/>
    </row>
    <row r="71" spans="1:16" s="42" customFormat="1" ht="57" customHeight="1">
      <c r="A71" s="29" t="s">
        <v>171</v>
      </c>
      <c r="B71" s="29">
        <v>43</v>
      </c>
      <c r="C71" t="s">
        <v>158</v>
      </c>
      <c r="D71" t="s">
        <v>237</v>
      </c>
      <c r="E71" t="s">
        <v>160</v>
      </c>
      <c r="F71" s="104">
        <v>5103</v>
      </c>
      <c r="G71" s="106"/>
      <c r="H71" s="106"/>
      <c r="I71" s="109"/>
      <c r="J71" s="39">
        <f t="shared" si="1"/>
        <v>5103</v>
      </c>
      <c r="K71" s="160"/>
      <c r="L71" s="141"/>
      <c r="M71" s="141"/>
      <c r="N71" s="84"/>
    </row>
    <row r="72" spans="1:16" s="42" customFormat="1" ht="57" hidden="1" customHeight="1">
      <c r="A72" s="29"/>
      <c r="B72" s="29"/>
      <c r="C72"/>
      <c r="D72"/>
      <c r="E72"/>
      <c r="F72" s="104"/>
      <c r="G72" s="106"/>
      <c r="H72" s="106"/>
      <c r="I72" s="109"/>
      <c r="J72" s="39"/>
      <c r="K72" s="143"/>
      <c r="L72" s="141"/>
      <c r="M72" s="141"/>
      <c r="N72" s="84"/>
    </row>
    <row r="73" spans="1:16" s="42" customFormat="1" ht="57" customHeight="1">
      <c r="A73" s="29"/>
      <c r="B73" s="29"/>
      <c r="C73"/>
      <c r="D73"/>
      <c r="E73"/>
      <c r="F73" s="104"/>
      <c r="G73" s="106"/>
      <c r="H73" s="106"/>
      <c r="I73" s="109"/>
      <c r="J73" s="29" t="s">
        <v>527</v>
      </c>
      <c r="K73" s="161"/>
      <c r="L73" s="141"/>
      <c r="M73" s="141"/>
      <c r="N73" s="84"/>
    </row>
    <row r="74" spans="1:16" s="42" customFormat="1" ht="57" customHeight="1">
      <c r="A74" s="29" t="s">
        <v>171</v>
      </c>
      <c r="B74" s="29">
        <v>44</v>
      </c>
      <c r="C74" t="s">
        <v>158</v>
      </c>
      <c r="D74" t="s">
        <v>238</v>
      </c>
      <c r="E74" t="s">
        <v>40</v>
      </c>
      <c r="F74" s="104">
        <v>3606.12</v>
      </c>
      <c r="G74" s="106"/>
      <c r="H74" s="106"/>
      <c r="I74" s="109"/>
      <c r="J74" s="39">
        <f t="shared" si="1"/>
        <v>3606.12</v>
      </c>
      <c r="K74" s="160"/>
      <c r="L74" s="141"/>
      <c r="M74" s="141"/>
      <c r="N74" s="84"/>
    </row>
    <row r="75" spans="1:16" ht="60.75" customHeight="1">
      <c r="A75" s="29" t="s">
        <v>171</v>
      </c>
      <c r="B75" s="29">
        <v>45</v>
      </c>
      <c r="C75" t="s">
        <v>158</v>
      </c>
      <c r="D75" t="s">
        <v>239</v>
      </c>
      <c r="E75" t="s">
        <v>240</v>
      </c>
      <c r="F75" s="99">
        <v>3750.14</v>
      </c>
      <c r="G75" s="103">
        <v>0</v>
      </c>
      <c r="H75" s="103"/>
      <c r="I75" s="103">
        <v>0</v>
      </c>
      <c r="J75" s="54">
        <f t="shared" si="1"/>
        <v>3750.14</v>
      </c>
      <c r="K75" s="162"/>
      <c r="N75" s="104"/>
      <c r="P75" s="87"/>
    </row>
    <row r="76" spans="1:16" ht="29.25" customHeight="1">
      <c r="F76" s="85">
        <f>SUM(F68:F75)</f>
        <v>26783.437699999999</v>
      </c>
      <c r="G76" s="85">
        <f>SUM(G68:G75)</f>
        <v>721</v>
      </c>
      <c r="H76" s="85">
        <f>SUM(H68:H75)</f>
        <v>1814.4</v>
      </c>
      <c r="I76" s="85">
        <f>SUM(I68:I75)</f>
        <v>0</v>
      </c>
      <c r="J76" s="55">
        <f>SUM(J68:J75)</f>
        <v>25690.037699999997</v>
      </c>
      <c r="K76" s="138"/>
      <c r="L76" s="44"/>
      <c r="M76" s="44"/>
      <c r="N76" s="163"/>
    </row>
    <row r="77" spans="1:16" ht="26.25" customHeight="1">
      <c r="D77" s="29" t="s">
        <v>241</v>
      </c>
      <c r="F77" s="97"/>
      <c r="G77" s="84"/>
      <c r="H77" s="84"/>
      <c r="J77" s="39"/>
      <c r="K77" s="138"/>
      <c r="L77" s="44"/>
      <c r="M77" s="44"/>
      <c r="N77" s="105"/>
    </row>
    <row r="78" spans="1:16" ht="48" customHeight="1">
      <c r="B78" s="29">
        <v>46</v>
      </c>
      <c r="C78" t="s">
        <v>158</v>
      </c>
      <c r="D78" s="152" t="s">
        <v>242</v>
      </c>
      <c r="E78" s="126" t="s">
        <v>243</v>
      </c>
      <c r="F78" s="97">
        <v>5250</v>
      </c>
      <c r="G78" s="84">
        <v>0</v>
      </c>
      <c r="H78" s="84">
        <v>0</v>
      </c>
      <c r="I78" s="85">
        <v>0</v>
      </c>
      <c r="J78" s="39">
        <f>F78+G78-H78-I78</f>
        <v>5250</v>
      </c>
      <c r="K78" s="140"/>
      <c r="N78" s="104"/>
    </row>
    <row r="79" spans="1:16" ht="36.75" customHeight="1">
      <c r="B79" s="29">
        <v>47</v>
      </c>
      <c r="C79" t="s">
        <v>158</v>
      </c>
      <c r="D79" t="s">
        <v>244</v>
      </c>
      <c r="E79" t="s">
        <v>245</v>
      </c>
      <c r="F79" s="104">
        <v>3969</v>
      </c>
      <c r="G79" s="106">
        <v>0</v>
      </c>
      <c r="H79" s="106"/>
      <c r="I79" s="109">
        <v>0</v>
      </c>
      <c r="J79" s="39">
        <f>F79+G79-H79-I79</f>
        <v>3969</v>
      </c>
      <c r="K79" s="140"/>
      <c r="L79" s="44"/>
      <c r="M79" s="44"/>
      <c r="N79" s="105"/>
    </row>
    <row r="80" spans="1:16" ht="19.5" customHeight="1">
      <c r="F80" s="108">
        <f>SUM(F78:F79)</f>
        <v>9219</v>
      </c>
      <c r="G80" s="108">
        <f>SUM(G78:G79)</f>
        <v>0</v>
      </c>
      <c r="H80" s="108">
        <f>SUM(H78:H79)</f>
        <v>0</v>
      </c>
      <c r="I80" s="108">
        <f>SUM(I78:I79)</f>
        <v>0</v>
      </c>
      <c r="J80" s="108">
        <f>SUM(J78:J79)</f>
        <v>9219</v>
      </c>
      <c r="K80" s="138"/>
      <c r="L80" s="44"/>
      <c r="M80" s="44"/>
      <c r="N80" s="20"/>
    </row>
    <row r="81" spans="1:15" ht="30" customHeight="1">
      <c r="D81" s="29"/>
      <c r="F81" s="109"/>
      <c r="G81" s="106"/>
      <c r="H81" s="106"/>
      <c r="I81" s="109"/>
      <c r="J81" s="39"/>
      <c r="K81" s="138"/>
      <c r="L81" s="44"/>
      <c r="M81" s="141"/>
      <c r="N81" s="20"/>
    </row>
    <row r="82" spans="1:15" ht="26.25" customHeight="1">
      <c r="D82" s="303" t="s">
        <v>1</v>
      </c>
      <c r="E82" s="303"/>
      <c r="F82" s="303"/>
      <c r="G82" s="106"/>
      <c r="H82" s="106"/>
      <c r="I82" s="109"/>
      <c r="J82" s="39"/>
      <c r="K82" s="158"/>
      <c r="L82" s="44"/>
      <c r="M82" s="44"/>
      <c r="N82" s="20"/>
    </row>
    <row r="83" spans="1:15" ht="30" customHeight="1">
      <c r="D83" s="306" t="s">
        <v>529</v>
      </c>
      <c r="E83" s="306"/>
      <c r="F83" s="306"/>
      <c r="G83" s="306"/>
      <c r="H83" s="106"/>
      <c r="I83" s="109"/>
      <c r="J83" s="29" t="s">
        <v>527</v>
      </c>
      <c r="K83" s="158"/>
      <c r="L83" s="44"/>
      <c r="M83" s="44"/>
      <c r="N83" s="20"/>
    </row>
    <row r="84" spans="1:15" ht="28.5" customHeight="1">
      <c r="C84" s="150" t="s">
        <v>3</v>
      </c>
      <c r="D84" s="150"/>
      <c r="E84" s="150"/>
      <c r="F84" s="150" t="s">
        <v>153</v>
      </c>
      <c r="G84" s="150" t="s">
        <v>154</v>
      </c>
      <c r="H84" s="150" t="s">
        <v>155</v>
      </c>
      <c r="I84" s="229" t="s">
        <v>341</v>
      </c>
      <c r="J84" s="150" t="s">
        <v>156</v>
      </c>
      <c r="K84" s="158"/>
      <c r="L84" s="44"/>
      <c r="M84" s="44"/>
      <c r="N84" s="20"/>
    </row>
    <row r="85" spans="1:15" ht="30" customHeight="1">
      <c r="C85" s="154"/>
      <c r="D85" s="29" t="s">
        <v>246</v>
      </c>
      <c r="E85" s="154"/>
      <c r="F85" s="154"/>
      <c r="G85" s="154"/>
      <c r="H85" s="154"/>
      <c r="I85" s="154"/>
      <c r="J85" s="154"/>
      <c r="K85" s="164"/>
      <c r="L85" s="165"/>
      <c r="M85" s="165"/>
      <c r="N85" s="97"/>
    </row>
    <row r="86" spans="1:15" ht="35.25" customHeight="1">
      <c r="A86" s="29" t="s">
        <v>20</v>
      </c>
      <c r="B86" s="29">
        <v>48</v>
      </c>
      <c r="C86" t="s">
        <v>158</v>
      </c>
      <c r="D86" t="s">
        <v>247</v>
      </c>
      <c r="E86" t="s">
        <v>248</v>
      </c>
      <c r="F86" s="104">
        <v>3628.8</v>
      </c>
      <c r="G86" s="106">
        <v>0</v>
      </c>
      <c r="H86" s="106">
        <v>0</v>
      </c>
      <c r="I86" s="109">
        <v>0</v>
      </c>
      <c r="J86" s="39">
        <f>F86+G86-H86-I86</f>
        <v>3628.8</v>
      </c>
      <c r="K86" s="140"/>
      <c r="L86" s="44"/>
      <c r="M86" s="44"/>
      <c r="N86" s="56"/>
      <c r="O86" s="35"/>
    </row>
    <row r="87" spans="1:15" ht="35.25" customHeight="1">
      <c r="A87" s="29" t="s">
        <v>20</v>
      </c>
      <c r="B87" s="29">
        <v>49</v>
      </c>
      <c r="C87" t="s">
        <v>158</v>
      </c>
      <c r="D87" t="s">
        <v>249</v>
      </c>
      <c r="E87" t="s">
        <v>250</v>
      </c>
      <c r="F87" s="104">
        <v>3969</v>
      </c>
      <c r="G87" s="106">
        <v>0</v>
      </c>
      <c r="H87" s="106">
        <v>0</v>
      </c>
      <c r="I87" s="109">
        <v>0</v>
      </c>
      <c r="J87" s="39">
        <f>F87+G87-H87-I87</f>
        <v>3969</v>
      </c>
      <c r="K87" s="140"/>
      <c r="L87" s="44"/>
      <c r="M87" s="44"/>
      <c r="N87" s="56"/>
      <c r="O87" s="35"/>
    </row>
    <row r="88" spans="1:15" ht="49.5" customHeight="1">
      <c r="A88" s="29" t="s">
        <v>251</v>
      </c>
      <c r="B88" s="29">
        <v>50</v>
      </c>
      <c r="C88" t="s">
        <v>158</v>
      </c>
      <c r="D88" t="s">
        <v>252</v>
      </c>
      <c r="E88" t="s">
        <v>250</v>
      </c>
      <c r="F88" s="104">
        <v>3606.12</v>
      </c>
      <c r="G88" s="106">
        <v>0</v>
      </c>
      <c r="H88" s="106">
        <v>0</v>
      </c>
      <c r="I88" s="109">
        <v>0</v>
      </c>
      <c r="J88" s="39">
        <f>F88+G88-H88-I88</f>
        <v>3606.12</v>
      </c>
      <c r="K88" s="140"/>
      <c r="L88" s="44"/>
      <c r="M88" s="44"/>
      <c r="N88" s="20"/>
    </row>
    <row r="89" spans="1:15" ht="33.75" customHeight="1">
      <c r="F89" s="108">
        <f t="shared" ref="F89:J89" si="2">SUM(F86:F88)</f>
        <v>11203.92</v>
      </c>
      <c r="G89" s="108">
        <f t="shared" si="2"/>
        <v>0</v>
      </c>
      <c r="H89" s="108">
        <f t="shared" si="2"/>
        <v>0</v>
      </c>
      <c r="I89" s="108">
        <f t="shared" si="2"/>
        <v>0</v>
      </c>
      <c r="J89" s="108">
        <f t="shared" si="2"/>
        <v>11203.92</v>
      </c>
      <c r="K89" s="48"/>
      <c r="L89" s="44"/>
      <c r="M89" s="44"/>
      <c r="N89" s="20"/>
    </row>
    <row r="90" spans="1:15" ht="23.25" customHeight="1">
      <c r="D90" s="29" t="s">
        <v>253</v>
      </c>
      <c r="F90" s="97"/>
      <c r="G90" s="85"/>
      <c r="H90" s="85"/>
      <c r="J90" s="39"/>
      <c r="K90" s="138"/>
      <c r="L90" s="44"/>
      <c r="M90" s="44"/>
      <c r="N90" s="20"/>
    </row>
    <row r="91" spans="1:15" ht="57" customHeight="1">
      <c r="A91" s="29" t="s">
        <v>20</v>
      </c>
      <c r="B91" s="29">
        <v>51</v>
      </c>
      <c r="C91" t="s">
        <v>158</v>
      </c>
      <c r="D91" t="s">
        <v>254</v>
      </c>
      <c r="E91" t="s">
        <v>255</v>
      </c>
      <c r="F91" s="97">
        <v>4762.8</v>
      </c>
      <c r="G91" s="84"/>
      <c r="H91" s="84" t="s">
        <v>421</v>
      </c>
      <c r="I91" s="85">
        <v>0</v>
      </c>
      <c r="J91" s="39">
        <v>4762.8</v>
      </c>
      <c r="K91" s="140"/>
      <c r="L91" s="44"/>
      <c r="M91" s="44"/>
      <c r="N91" s="20"/>
    </row>
    <row r="92" spans="1:15" ht="58.5" hidden="1" customHeight="1">
      <c r="F92" s="97">
        <v>0</v>
      </c>
      <c r="G92" s="84"/>
      <c r="H92" s="84"/>
      <c r="J92" s="39"/>
      <c r="K92" s="158"/>
      <c r="L92" s="141"/>
      <c r="M92" s="44">
        <v>4200</v>
      </c>
      <c r="N92" s="20">
        <v>0</v>
      </c>
    </row>
    <row r="93" spans="1:15" ht="54.75" customHeight="1">
      <c r="B93" s="29">
        <v>52</v>
      </c>
      <c r="C93" t="s">
        <v>158</v>
      </c>
      <c r="D93" t="s">
        <v>256</v>
      </c>
      <c r="E93" t="s">
        <v>255</v>
      </c>
      <c r="F93" s="97">
        <v>4762.8</v>
      </c>
      <c r="G93" s="84"/>
      <c r="H93" s="84">
        <v>0</v>
      </c>
      <c r="I93" s="85">
        <v>0</v>
      </c>
      <c r="J93" s="39">
        <f>F93+G93-H93-I93</f>
        <v>4762.8</v>
      </c>
      <c r="K93" s="140"/>
      <c r="L93" s="141"/>
      <c r="M93" s="44"/>
      <c r="N93" s="47"/>
    </row>
    <row r="94" spans="1:15" ht="59.25" hidden="1" customHeight="1">
      <c r="F94" s="97">
        <v>0</v>
      </c>
      <c r="G94" s="84"/>
      <c r="H94" s="84">
        <v>0</v>
      </c>
      <c r="J94" s="39"/>
      <c r="K94" s="140"/>
      <c r="L94" s="141"/>
      <c r="M94" s="44"/>
      <c r="N94" s="47"/>
    </row>
    <row r="95" spans="1:15" ht="33" hidden="1" customHeight="1">
      <c r="F95" s="97">
        <v>0</v>
      </c>
      <c r="G95" s="84"/>
      <c r="H95" s="84"/>
      <c r="J95" s="39"/>
      <c r="K95" s="140"/>
      <c r="L95" s="141"/>
      <c r="M95" s="44"/>
      <c r="N95" s="47"/>
    </row>
    <row r="96" spans="1:15" ht="58.5" customHeight="1">
      <c r="B96" s="29">
        <v>53</v>
      </c>
      <c r="C96" t="s">
        <v>158</v>
      </c>
      <c r="D96" t="s">
        <v>257</v>
      </c>
      <c r="E96" t="s">
        <v>255</v>
      </c>
      <c r="F96" s="97">
        <v>4762.8</v>
      </c>
      <c r="G96" s="84"/>
      <c r="H96" s="84">
        <v>0</v>
      </c>
      <c r="I96" s="85">
        <v>0</v>
      </c>
      <c r="J96" s="39">
        <f>F96+G96-H96-I96</f>
        <v>4762.8</v>
      </c>
      <c r="K96" s="158"/>
      <c r="L96" s="141"/>
      <c r="M96" s="44"/>
      <c r="N96" s="47"/>
    </row>
    <row r="97" spans="1:14" ht="58.5" customHeight="1">
      <c r="F97" s="97"/>
      <c r="G97" s="84"/>
      <c r="H97" s="84"/>
      <c r="J97" s="29" t="s">
        <v>527</v>
      </c>
      <c r="K97" s="166"/>
      <c r="L97" s="141"/>
      <c r="M97" s="44"/>
      <c r="N97" s="47"/>
    </row>
    <row r="98" spans="1:14" ht="45.75" customHeight="1">
      <c r="A98" s="29" t="s">
        <v>20</v>
      </c>
      <c r="B98" s="29">
        <v>54</v>
      </c>
      <c r="C98" t="s">
        <v>158</v>
      </c>
      <c r="D98" t="s">
        <v>258</v>
      </c>
      <c r="E98" t="s">
        <v>255</v>
      </c>
      <c r="F98" s="104">
        <v>4762.8</v>
      </c>
      <c r="G98" s="84"/>
      <c r="H98" s="84">
        <v>0</v>
      </c>
      <c r="I98" s="85">
        <v>0</v>
      </c>
      <c r="J98" s="39">
        <f>F98+G98-H98-I98</f>
        <v>4762.8</v>
      </c>
      <c r="K98" s="140"/>
      <c r="L98" s="44"/>
      <c r="M98" s="44"/>
      <c r="N98" s="20">
        <f>SUM(N92:N92)</f>
        <v>0</v>
      </c>
    </row>
    <row r="99" spans="1:14" ht="51" customHeight="1">
      <c r="B99" s="29">
        <v>55</v>
      </c>
      <c r="C99" t="s">
        <v>158</v>
      </c>
      <c r="D99" t="s">
        <v>259</v>
      </c>
      <c r="E99" t="s">
        <v>255</v>
      </c>
      <c r="F99" s="104">
        <v>4762.8</v>
      </c>
      <c r="G99" s="84"/>
      <c r="H99" s="84">
        <v>0</v>
      </c>
      <c r="I99" s="85">
        <v>0</v>
      </c>
      <c r="J99" s="39">
        <f>F99+G99-H99-I99</f>
        <v>4762.8</v>
      </c>
      <c r="K99" s="140"/>
      <c r="L99" s="44"/>
      <c r="M99" s="44">
        <f>F98/15</f>
        <v>317.52000000000004</v>
      </c>
      <c r="N99" s="20"/>
    </row>
    <row r="100" spans="1:14" ht="51" customHeight="1">
      <c r="B100" s="29">
        <v>56</v>
      </c>
      <c r="C100" t="s">
        <v>158</v>
      </c>
      <c r="D100" t="s">
        <v>260</v>
      </c>
      <c r="E100" t="s">
        <v>255</v>
      </c>
      <c r="F100" s="104">
        <v>4762.8</v>
      </c>
      <c r="G100" s="85">
        <v>2198</v>
      </c>
      <c r="H100" s="85"/>
      <c r="J100" s="39">
        <f>F100+G100-H100-I100</f>
        <v>6960.8</v>
      </c>
      <c r="K100" s="162"/>
      <c r="L100" s="165"/>
      <c r="M100" s="165"/>
      <c r="N100" s="97"/>
    </row>
    <row r="101" spans="1:14" ht="51" customHeight="1">
      <c r="B101" s="29">
        <v>57</v>
      </c>
      <c r="C101" t="s">
        <v>158</v>
      </c>
      <c r="D101" t="s">
        <v>261</v>
      </c>
      <c r="E101" t="s">
        <v>255</v>
      </c>
      <c r="F101" s="104">
        <v>4762.8</v>
      </c>
      <c r="G101" s="85">
        <v>998</v>
      </c>
      <c r="H101" s="85"/>
      <c r="J101" s="39">
        <f>F101+G101-H101-I101</f>
        <v>5760.8</v>
      </c>
      <c r="K101" s="162"/>
      <c r="L101" s="165"/>
      <c r="M101" s="165"/>
      <c r="N101" s="97"/>
    </row>
    <row r="102" spans="1:14" ht="51" customHeight="1">
      <c r="B102" s="29">
        <v>58</v>
      </c>
      <c r="C102" t="s">
        <v>158</v>
      </c>
      <c r="D102" t="s">
        <v>262</v>
      </c>
      <c r="E102" t="s">
        <v>255</v>
      </c>
      <c r="F102" s="104">
        <v>4762.8</v>
      </c>
      <c r="G102" s="85">
        <v>998</v>
      </c>
      <c r="H102" s="85"/>
      <c r="J102" s="39">
        <f>F102+G102-H102-I102</f>
        <v>5760.8</v>
      </c>
      <c r="K102" s="162"/>
      <c r="L102" s="165"/>
      <c r="M102" s="165"/>
      <c r="N102" s="97"/>
    </row>
    <row r="103" spans="1:14" ht="51" customHeight="1">
      <c r="B103" s="29">
        <v>59</v>
      </c>
      <c r="C103" t="s">
        <v>158</v>
      </c>
      <c r="D103" t="s">
        <v>263</v>
      </c>
      <c r="E103" t="s">
        <v>255</v>
      </c>
      <c r="F103" s="288">
        <v>4762.8</v>
      </c>
      <c r="G103" s="84"/>
      <c r="H103" s="84"/>
      <c r="J103" s="39">
        <f t="shared" ref="J103:J109" si="3">F103+G103-H103-I103</f>
        <v>4762.8</v>
      </c>
      <c r="K103" s="140"/>
      <c r="L103" s="44"/>
      <c r="M103" s="44"/>
      <c r="N103" s="20"/>
    </row>
    <row r="104" spans="1:14" ht="51" customHeight="1">
      <c r="B104" s="29">
        <v>60</v>
      </c>
      <c r="C104" t="s">
        <v>158</v>
      </c>
      <c r="D104" t="s">
        <v>264</v>
      </c>
      <c r="E104" t="s">
        <v>255</v>
      </c>
      <c r="F104" s="288">
        <v>4762.8</v>
      </c>
      <c r="G104" s="84"/>
      <c r="H104" s="84"/>
      <c r="J104" s="39">
        <f t="shared" si="3"/>
        <v>4762.8</v>
      </c>
      <c r="K104" s="140"/>
      <c r="L104" s="44"/>
      <c r="M104" s="44"/>
      <c r="N104" s="20"/>
    </row>
    <row r="105" spans="1:14" ht="51" customHeight="1">
      <c r="B105" s="29">
        <v>61</v>
      </c>
      <c r="C105" t="s">
        <v>158</v>
      </c>
      <c r="D105" t="s">
        <v>265</v>
      </c>
      <c r="E105" t="s">
        <v>255</v>
      </c>
      <c r="F105" s="104">
        <v>4762.8</v>
      </c>
      <c r="G105" s="84"/>
      <c r="H105" s="84"/>
      <c r="J105" s="39">
        <f t="shared" si="3"/>
        <v>4762.8</v>
      </c>
      <c r="K105" s="140"/>
      <c r="L105" s="44"/>
      <c r="M105" s="44"/>
      <c r="N105" s="20"/>
    </row>
    <row r="106" spans="1:14" ht="51" customHeight="1">
      <c r="B106" s="29">
        <v>62</v>
      </c>
      <c r="C106" t="s">
        <v>158</v>
      </c>
      <c r="D106" t="s">
        <v>266</v>
      </c>
      <c r="E106" t="s">
        <v>255</v>
      </c>
      <c r="F106" s="104">
        <v>4762.8</v>
      </c>
      <c r="G106" s="84"/>
      <c r="H106" s="84">
        <v>0</v>
      </c>
      <c r="I106" s="85">
        <v>0</v>
      </c>
      <c r="J106" s="39">
        <f t="shared" si="3"/>
        <v>4762.8</v>
      </c>
      <c r="K106" s="140"/>
      <c r="L106" s="44"/>
      <c r="M106" s="44"/>
      <c r="N106" s="20"/>
    </row>
    <row r="107" spans="1:14" ht="51" customHeight="1">
      <c r="B107" s="29">
        <v>63</v>
      </c>
      <c r="C107" t="s">
        <v>158</v>
      </c>
      <c r="D107" t="s">
        <v>267</v>
      </c>
      <c r="E107" t="s">
        <v>255</v>
      </c>
      <c r="F107" s="104">
        <v>4762.8</v>
      </c>
      <c r="G107" s="84"/>
      <c r="H107" s="84"/>
      <c r="J107" s="39">
        <f t="shared" si="3"/>
        <v>4762.8</v>
      </c>
      <c r="K107" s="140"/>
      <c r="L107" s="44"/>
      <c r="M107" s="44"/>
      <c r="N107" s="20"/>
    </row>
    <row r="108" spans="1:14" ht="51" customHeight="1">
      <c r="B108" s="29">
        <v>64</v>
      </c>
      <c r="C108" t="s">
        <v>158</v>
      </c>
      <c r="D108" t="s">
        <v>268</v>
      </c>
      <c r="E108" t="s">
        <v>255</v>
      </c>
      <c r="F108" s="104">
        <v>4762.8</v>
      </c>
      <c r="G108" s="84"/>
      <c r="H108" s="84"/>
      <c r="J108" s="39">
        <f t="shared" si="3"/>
        <v>4762.8</v>
      </c>
      <c r="K108" s="140"/>
      <c r="L108" s="44"/>
      <c r="M108" s="44"/>
      <c r="N108" s="20"/>
    </row>
    <row r="109" spans="1:14" ht="50.25" customHeight="1">
      <c r="B109" s="29">
        <v>65</v>
      </c>
      <c r="C109" t="s">
        <v>158</v>
      </c>
      <c r="D109" t="s">
        <v>269</v>
      </c>
      <c r="E109" t="s">
        <v>255</v>
      </c>
      <c r="F109" s="104">
        <v>4762.8</v>
      </c>
      <c r="G109" s="84"/>
      <c r="H109" s="84">
        <v>0</v>
      </c>
      <c r="J109" s="39">
        <f t="shared" si="3"/>
        <v>4762.8</v>
      </c>
      <c r="K109" s="140"/>
      <c r="L109" s="44"/>
      <c r="M109" s="44"/>
      <c r="N109" s="20"/>
    </row>
    <row r="110" spans="1:14" ht="58.5" customHeight="1">
      <c r="F110" s="107"/>
      <c r="G110" s="103"/>
      <c r="H110" s="103"/>
      <c r="I110" s="103"/>
      <c r="J110" s="54"/>
      <c r="K110" s="162"/>
      <c r="L110" s="165"/>
      <c r="M110" s="165"/>
      <c r="N110" s="97"/>
    </row>
    <row r="111" spans="1:14" ht="24" customHeight="1">
      <c r="F111" s="109">
        <f>SUM(F91:F110)</f>
        <v>71442.000000000015</v>
      </c>
      <c r="G111" s="106">
        <f>SUM(G91:G110)</f>
        <v>4194</v>
      </c>
      <c r="H111" s="106">
        <f>SUM(H91:H110)</f>
        <v>0</v>
      </c>
      <c r="I111" s="109">
        <f>SUM(I91:I110)</f>
        <v>0</v>
      </c>
      <c r="J111" s="106">
        <f>SUM(J91:J110)</f>
        <v>75636.000000000015</v>
      </c>
      <c r="K111" s="138"/>
      <c r="L111" s="44"/>
      <c r="M111" s="44"/>
      <c r="N111" s="20"/>
    </row>
    <row r="112" spans="1:14" ht="21.75" customHeight="1">
      <c r="D112" s="305" t="s">
        <v>1</v>
      </c>
      <c r="E112" s="305"/>
      <c r="F112" s="305"/>
      <c r="G112" s="85"/>
      <c r="H112" s="85"/>
      <c r="J112" s="85"/>
      <c r="K112" s="138"/>
      <c r="L112" s="44"/>
      <c r="M112" s="44"/>
      <c r="N112" s="20"/>
    </row>
    <row r="113" spans="1:29" ht="35.25" customHeight="1">
      <c r="D113" s="88" t="s">
        <v>528</v>
      </c>
      <c r="G113" s="85"/>
      <c r="H113" s="85"/>
      <c r="J113" s="29" t="s">
        <v>527</v>
      </c>
      <c r="K113" s="138"/>
      <c r="L113" s="44"/>
      <c r="M113" s="44"/>
      <c r="N113" s="20"/>
    </row>
    <row r="114" spans="1:29" ht="36.75" customHeight="1">
      <c r="C114" s="150" t="s">
        <v>3</v>
      </c>
      <c r="D114" s="150"/>
      <c r="E114" s="150"/>
      <c r="F114" s="150" t="s">
        <v>153</v>
      </c>
      <c r="G114" s="150" t="s">
        <v>154</v>
      </c>
      <c r="H114" s="150" t="s">
        <v>155</v>
      </c>
      <c r="I114" s="229" t="s">
        <v>341</v>
      </c>
      <c r="J114" s="150" t="s">
        <v>156</v>
      </c>
      <c r="K114" s="138"/>
      <c r="L114" s="44"/>
      <c r="M114" s="44"/>
      <c r="N114" s="20"/>
    </row>
    <row r="115" spans="1:29" ht="21.75" customHeight="1">
      <c r="D115" s="29" t="s">
        <v>270</v>
      </c>
      <c r="F115" s="97"/>
      <c r="G115" s="85"/>
      <c r="H115" s="85"/>
      <c r="J115" s="39"/>
      <c r="K115" s="138"/>
      <c r="L115" s="44"/>
      <c r="M115" s="44"/>
      <c r="N115" s="56"/>
    </row>
    <row r="116" spans="1:29" ht="54" customHeight="1">
      <c r="A116" s="29" t="s">
        <v>20</v>
      </c>
      <c r="B116" s="29">
        <v>66</v>
      </c>
      <c r="C116" t="s">
        <v>158</v>
      </c>
      <c r="D116" t="s">
        <v>271</v>
      </c>
      <c r="E116" t="s">
        <v>272</v>
      </c>
      <c r="F116" s="97">
        <v>3625.3980000000001</v>
      </c>
      <c r="G116" s="84">
        <v>0</v>
      </c>
      <c r="H116" s="84">
        <v>0</v>
      </c>
      <c r="I116" s="85">
        <v>0</v>
      </c>
      <c r="J116" s="39">
        <f>+F116+G116-H116-I116</f>
        <v>3625.3980000000001</v>
      </c>
      <c r="K116" s="140"/>
      <c r="L116" s="44"/>
      <c r="M116" s="44"/>
      <c r="N116" s="20"/>
    </row>
    <row r="117" spans="1:29" ht="62.25" customHeight="1">
      <c r="B117" s="29">
        <v>67</v>
      </c>
      <c r="C117" t="s">
        <v>158</v>
      </c>
      <c r="D117" t="s">
        <v>273</v>
      </c>
      <c r="E117" t="s">
        <v>274</v>
      </c>
      <c r="F117" s="97">
        <v>3625.3980000000001</v>
      </c>
      <c r="G117" s="84"/>
      <c r="H117" s="84">
        <v>0</v>
      </c>
      <c r="I117" s="85">
        <v>0</v>
      </c>
      <c r="J117" s="39">
        <f>+F117+G117-H117-I117</f>
        <v>3625.3980000000001</v>
      </c>
      <c r="K117" s="140"/>
      <c r="L117" s="44"/>
      <c r="M117" s="44"/>
      <c r="N117" s="20"/>
    </row>
    <row r="118" spans="1:29" ht="57.75" customHeight="1">
      <c r="A118" s="29" t="s">
        <v>20</v>
      </c>
      <c r="B118" s="29">
        <v>68</v>
      </c>
      <c r="C118" t="s">
        <v>158</v>
      </c>
      <c r="D118" t="s">
        <v>275</v>
      </c>
      <c r="E118" t="s">
        <v>276</v>
      </c>
      <c r="F118" s="99">
        <v>3625.3980000000001</v>
      </c>
      <c r="G118" s="101">
        <v>0</v>
      </c>
      <c r="H118" s="101">
        <v>0</v>
      </c>
      <c r="I118" s="103">
        <v>0</v>
      </c>
      <c r="J118" s="54">
        <f>+F118+G118-H118-I118</f>
        <v>3625.3980000000001</v>
      </c>
      <c r="K118" s="140"/>
      <c r="L118" s="44"/>
      <c r="M118" s="44"/>
      <c r="N118" s="20"/>
    </row>
    <row r="119" spans="1:29" ht="32.25" customHeight="1">
      <c r="F119" s="109">
        <f>SUM(F116:F118)</f>
        <v>10876.194</v>
      </c>
      <c r="G119" s="106">
        <f>SUM(G116:G118)</f>
        <v>0</v>
      </c>
      <c r="H119" s="106">
        <f>SUM(H116:H118)</f>
        <v>0</v>
      </c>
      <c r="I119" s="109">
        <f>SUM(I116:I118)</f>
        <v>0</v>
      </c>
      <c r="J119" s="106">
        <f>SUM(J116:J118)</f>
        <v>10876.194</v>
      </c>
      <c r="K119" s="138"/>
      <c r="L119" s="44"/>
      <c r="M119" s="44"/>
      <c r="N119" s="20"/>
    </row>
    <row r="120" spans="1:29" ht="22.5" customHeight="1">
      <c r="D120" s="29"/>
      <c r="F120" s="84"/>
      <c r="G120" s="84"/>
      <c r="H120" s="84"/>
      <c r="J120" s="85"/>
      <c r="K120" s="138"/>
      <c r="L120" s="44"/>
      <c r="M120" s="44"/>
      <c r="N120" s="20"/>
    </row>
    <row r="121" spans="1:29" ht="41.25" hidden="1" customHeight="1">
      <c r="F121" s="104"/>
      <c r="G121" s="106"/>
      <c r="H121" s="106"/>
      <c r="I121" s="109"/>
      <c r="J121" s="39"/>
      <c r="K121" s="158"/>
      <c r="L121" s="45"/>
      <c r="M121" s="44"/>
      <c r="N121" s="20"/>
    </row>
    <row r="122" spans="1:29" ht="34.5" hidden="1" customHeight="1">
      <c r="F122" s="106"/>
      <c r="G122" s="106"/>
      <c r="H122" s="106"/>
      <c r="I122" s="109"/>
      <c r="J122" s="109"/>
      <c r="K122" s="158"/>
      <c r="L122" s="45"/>
      <c r="M122" s="44"/>
      <c r="N122" s="20"/>
      <c r="S122" t="s">
        <v>158</v>
      </c>
      <c r="T122" t="s">
        <v>277</v>
      </c>
      <c r="U122" t="s">
        <v>182</v>
      </c>
      <c r="V122" s="104">
        <v>3120</v>
      </c>
      <c r="W122" s="105"/>
      <c r="X122" s="105"/>
      <c r="Y122" s="104"/>
      <c r="Z122" s="39">
        <f>+V122+W122-X122-Y122</f>
        <v>3120</v>
      </c>
      <c r="AA122" s="100"/>
      <c r="AB122" s="100"/>
      <c r="AC122" s="100"/>
    </row>
    <row r="123" spans="1:29" ht="18.75" customHeight="1">
      <c r="D123" s="29" t="s">
        <v>278</v>
      </c>
      <c r="F123" s="84"/>
      <c r="G123" s="84"/>
      <c r="H123" s="84"/>
      <c r="J123" s="84"/>
      <c r="K123" s="138"/>
      <c r="L123" s="44"/>
      <c r="M123" s="44"/>
      <c r="N123" s="20"/>
    </row>
    <row r="124" spans="1:29" ht="50.25" hidden="1" customHeight="1">
      <c r="D124" s="152"/>
      <c r="F124" s="20"/>
      <c r="G124" s="84"/>
      <c r="H124" s="84"/>
      <c r="J124" s="20"/>
      <c r="K124" s="158"/>
      <c r="L124" s="44"/>
      <c r="M124" s="44"/>
      <c r="N124" s="20"/>
    </row>
    <row r="125" spans="1:29" ht="42" customHeight="1">
      <c r="A125" s="29" t="s">
        <v>171</v>
      </c>
      <c r="B125" s="29">
        <v>69</v>
      </c>
      <c r="C125" t="s">
        <v>158</v>
      </c>
      <c r="D125" s="152" t="s">
        <v>279</v>
      </c>
      <c r="E125" t="s">
        <v>76</v>
      </c>
      <c r="F125" s="20">
        <v>3402</v>
      </c>
      <c r="G125" s="84"/>
      <c r="H125" s="84"/>
      <c r="J125" s="20">
        <f>F125+G125-H125-I125</f>
        <v>3402</v>
      </c>
      <c r="K125" s="140"/>
      <c r="L125" s="44"/>
      <c r="M125" s="44"/>
      <c r="N125" s="20"/>
    </row>
    <row r="126" spans="1:29" s="42" customFormat="1" ht="37.5" customHeight="1">
      <c r="A126" s="29" t="s">
        <v>171</v>
      </c>
      <c r="B126" s="29">
        <v>70</v>
      </c>
      <c r="C126" t="s">
        <v>158</v>
      </c>
      <c r="D126" s="152" t="s">
        <v>280</v>
      </c>
      <c r="E126" t="s">
        <v>76</v>
      </c>
      <c r="F126" s="20">
        <v>3402</v>
      </c>
      <c r="G126" s="84"/>
      <c r="H126" s="84"/>
      <c r="I126" s="85"/>
      <c r="J126" s="20">
        <f>F126+G126-H126-I126</f>
        <v>3402</v>
      </c>
      <c r="K126" s="160"/>
      <c r="L126" s="141"/>
      <c r="M126" s="141"/>
      <c r="N126" s="84"/>
    </row>
    <row r="127" spans="1:29" ht="30.75" customHeight="1">
      <c r="A127" s="29" t="s">
        <v>281</v>
      </c>
      <c r="B127" s="29">
        <v>71</v>
      </c>
      <c r="C127" t="s">
        <v>158</v>
      </c>
      <c r="D127" t="s">
        <v>282</v>
      </c>
      <c r="E127" t="s">
        <v>76</v>
      </c>
      <c r="F127" s="99">
        <v>3606.12</v>
      </c>
      <c r="G127" s="101">
        <v>0</v>
      </c>
      <c r="H127" s="101"/>
      <c r="I127" s="103">
        <v>0</v>
      </c>
      <c r="J127" s="54">
        <f>F127+G127-H127-I127</f>
        <v>3606.12</v>
      </c>
      <c r="K127" s="140"/>
      <c r="L127" s="44"/>
      <c r="M127" s="44"/>
      <c r="N127" s="20"/>
    </row>
    <row r="128" spans="1:29" ht="28.5" customHeight="1">
      <c r="F128" s="84">
        <f>SUM(F124:F127)</f>
        <v>10410.119999999999</v>
      </c>
      <c r="G128" s="84">
        <f>SUM(G124:G127)</f>
        <v>0</v>
      </c>
      <c r="H128" s="84">
        <f>SUM(H124:H127)</f>
        <v>0</v>
      </c>
      <c r="I128" s="85">
        <f>SUM(I124:I127)</f>
        <v>0</v>
      </c>
      <c r="J128" s="85">
        <f>SUM(J124:J127)</f>
        <v>10410.119999999999</v>
      </c>
      <c r="K128" s="138"/>
      <c r="L128" s="44"/>
      <c r="M128" s="44"/>
      <c r="N128" s="20"/>
    </row>
    <row r="129" spans="2:14" ht="27" customHeight="1">
      <c r="D129" s="29" t="s">
        <v>283</v>
      </c>
      <c r="F129" s="84"/>
      <c r="G129" s="84"/>
      <c r="H129" s="84"/>
      <c r="J129" s="85"/>
      <c r="K129" s="138"/>
      <c r="L129" s="44"/>
      <c r="M129" s="44"/>
      <c r="N129" s="20"/>
    </row>
    <row r="130" spans="2:14" ht="38.25" customHeight="1">
      <c r="B130" s="29">
        <v>72</v>
      </c>
      <c r="C130" t="s">
        <v>158</v>
      </c>
      <c r="D130" t="s">
        <v>284</v>
      </c>
      <c r="E130" t="s">
        <v>285</v>
      </c>
      <c r="F130" s="99">
        <v>3750.1379999999999</v>
      </c>
      <c r="G130" s="101"/>
      <c r="H130" s="101">
        <v>0</v>
      </c>
      <c r="I130" s="103">
        <v>0</v>
      </c>
      <c r="J130" s="54">
        <f>+F130+G130-H130-I130</f>
        <v>3750.1379999999999</v>
      </c>
      <c r="K130" s="140"/>
      <c r="L130" s="44"/>
      <c r="M130" s="44"/>
      <c r="N130" s="20"/>
    </row>
    <row r="131" spans="2:14" ht="27" customHeight="1">
      <c r="F131" s="109">
        <f>+F130</f>
        <v>3750.1379999999999</v>
      </c>
      <c r="G131" s="106">
        <f>SUM(G130)</f>
        <v>0</v>
      </c>
      <c r="H131" s="106">
        <f>+H130</f>
        <v>0</v>
      </c>
      <c r="I131" s="109">
        <f>+I130</f>
        <v>0</v>
      </c>
      <c r="J131" s="55">
        <f>+J130</f>
        <v>3750.1379999999999</v>
      </c>
      <c r="K131" s="138"/>
      <c r="L131" s="44"/>
      <c r="M131" s="44"/>
      <c r="N131" s="20"/>
    </row>
    <row r="132" spans="2:14" ht="27" customHeight="1">
      <c r="F132" s="109"/>
      <c r="G132" s="106"/>
      <c r="H132" s="106"/>
      <c r="I132" s="109"/>
      <c r="J132" s="55"/>
      <c r="K132" s="138"/>
      <c r="L132" s="44"/>
      <c r="M132" s="44"/>
      <c r="N132" s="20"/>
    </row>
    <row r="133" spans="2:14" ht="27" customHeight="1">
      <c r="D133" s="29" t="s">
        <v>98</v>
      </c>
      <c r="F133" s="84"/>
      <c r="G133" s="84"/>
      <c r="H133" s="84"/>
      <c r="J133" s="29" t="s">
        <v>527</v>
      </c>
      <c r="K133" s="138"/>
      <c r="L133" s="44"/>
      <c r="M133" s="44"/>
      <c r="N133" s="20"/>
    </row>
    <row r="134" spans="2:14" ht="36" customHeight="1">
      <c r="B134" s="29">
        <v>73</v>
      </c>
      <c r="C134" t="s">
        <v>158</v>
      </c>
      <c r="D134" t="s">
        <v>286</v>
      </c>
      <c r="E134" t="s">
        <v>287</v>
      </c>
      <c r="F134" s="104">
        <v>2644.4879999999998</v>
      </c>
      <c r="G134" s="106">
        <v>0</v>
      </c>
      <c r="H134" s="106"/>
      <c r="I134" s="109">
        <v>0</v>
      </c>
      <c r="J134" s="39">
        <f>F134+G134-H134-I134</f>
        <v>2644.4879999999998</v>
      </c>
      <c r="K134" s="140"/>
      <c r="L134" s="44"/>
      <c r="M134" s="44"/>
      <c r="N134" s="20"/>
    </row>
    <row r="135" spans="2:14" ht="54" customHeight="1">
      <c r="B135" s="29">
        <v>74</v>
      </c>
      <c r="C135" t="s">
        <v>158</v>
      </c>
      <c r="D135" t="s">
        <v>288</v>
      </c>
      <c r="E135" t="s">
        <v>289</v>
      </c>
      <c r="F135" s="99">
        <v>3402</v>
      </c>
      <c r="G135" s="101">
        <v>0</v>
      </c>
      <c r="H135" s="101">
        <v>0</v>
      </c>
      <c r="I135" s="103">
        <v>0</v>
      </c>
      <c r="J135" s="54">
        <f>+F135+G135</f>
        <v>3402</v>
      </c>
      <c r="K135" s="140"/>
      <c r="L135" s="44"/>
      <c r="M135" s="44"/>
      <c r="N135" s="20"/>
    </row>
    <row r="136" spans="2:14" ht="49.5" hidden="1" customHeight="1">
      <c r="F136" s="99"/>
      <c r="G136" s="101"/>
      <c r="H136" s="101"/>
      <c r="I136" s="103"/>
      <c r="J136" s="54"/>
      <c r="K136" s="140"/>
      <c r="L136" s="44"/>
      <c r="M136" s="44"/>
      <c r="N136" s="20"/>
    </row>
    <row r="137" spans="2:14" ht="27" customHeight="1">
      <c r="F137" s="109">
        <f>SUM(F134:F136)</f>
        <v>6046.4879999999994</v>
      </c>
      <c r="G137" s="106">
        <f ca="1">SUM(G134:G137)</f>
        <v>0</v>
      </c>
      <c r="H137" s="106">
        <f>SUM(H134:H135)</f>
        <v>0</v>
      </c>
      <c r="I137" s="109">
        <f>SUM(I134:I136)</f>
        <v>0</v>
      </c>
      <c r="J137" s="55">
        <f>SUM(J134:J136)</f>
        <v>6046.4879999999994</v>
      </c>
      <c r="K137" s="138"/>
      <c r="L137" s="44"/>
      <c r="M137" s="44"/>
      <c r="N137" s="20"/>
    </row>
    <row r="138" spans="2:14" ht="27" customHeight="1">
      <c r="D138" s="29" t="s">
        <v>290</v>
      </c>
      <c r="F138" s="84"/>
      <c r="G138" s="84"/>
      <c r="H138" s="84"/>
      <c r="J138" s="85"/>
      <c r="K138" s="138"/>
      <c r="L138" s="44"/>
      <c r="M138" s="44"/>
      <c r="N138" s="20"/>
    </row>
    <row r="139" spans="2:14" ht="32.25" customHeight="1">
      <c r="B139" s="29">
        <v>75</v>
      </c>
      <c r="C139" t="s">
        <v>158</v>
      </c>
      <c r="D139" t="s">
        <v>291</v>
      </c>
      <c r="E139" t="s">
        <v>274</v>
      </c>
      <c r="F139" s="99">
        <v>3605.7</v>
      </c>
      <c r="G139" s="101"/>
      <c r="H139" s="101"/>
      <c r="I139" s="103">
        <v>0</v>
      </c>
      <c r="J139" s="54">
        <f>+F139+G139-H139-I139</f>
        <v>3605.7</v>
      </c>
      <c r="K139" s="140"/>
      <c r="L139" s="44"/>
      <c r="M139" s="44"/>
      <c r="N139" s="20"/>
    </row>
    <row r="140" spans="2:14" ht="27" customHeight="1">
      <c r="F140" s="109">
        <f>+F139</f>
        <v>3605.7</v>
      </c>
      <c r="G140" s="106"/>
      <c r="H140" s="106">
        <f>+H139</f>
        <v>0</v>
      </c>
      <c r="I140" s="109"/>
      <c r="J140" s="55">
        <f>+J139</f>
        <v>3605.7</v>
      </c>
      <c r="K140" s="138"/>
      <c r="L140" s="44"/>
      <c r="M140" s="44"/>
      <c r="N140" s="20"/>
    </row>
    <row r="141" spans="2:14" ht="27" customHeight="1">
      <c r="D141" s="305" t="s">
        <v>1</v>
      </c>
      <c r="E141" s="305"/>
      <c r="F141" s="305"/>
      <c r="G141" s="85"/>
      <c r="H141" s="85"/>
      <c r="J141" s="85"/>
      <c r="K141" s="138"/>
      <c r="L141" s="44"/>
      <c r="M141" s="44"/>
      <c r="N141" s="20"/>
    </row>
    <row r="142" spans="2:14" ht="27" customHeight="1">
      <c r="D142" s="88" t="s">
        <v>528</v>
      </c>
      <c r="G142" s="85"/>
      <c r="H142" s="85"/>
      <c r="J142" s="29" t="s">
        <v>527</v>
      </c>
      <c r="K142" s="138"/>
      <c r="L142" s="44"/>
      <c r="M142" s="44"/>
      <c r="N142" s="20"/>
    </row>
    <row r="143" spans="2:14" ht="32.25" customHeight="1">
      <c r="C143" s="150" t="s">
        <v>3</v>
      </c>
      <c r="D143" s="150"/>
      <c r="E143" s="150"/>
      <c r="F143" s="150" t="s">
        <v>153</v>
      </c>
      <c r="G143" s="150" t="s">
        <v>154</v>
      </c>
      <c r="H143" s="150" t="s">
        <v>155</v>
      </c>
      <c r="I143" s="229" t="s">
        <v>341</v>
      </c>
      <c r="J143" s="150" t="s">
        <v>156</v>
      </c>
      <c r="K143" s="138"/>
      <c r="L143" s="44"/>
      <c r="M143" s="44"/>
      <c r="N143" s="20"/>
    </row>
    <row r="144" spans="2:14" ht="27" customHeight="1">
      <c r="D144" s="29" t="s">
        <v>292</v>
      </c>
      <c r="F144" s="84"/>
      <c r="G144" s="84"/>
      <c r="H144" s="84"/>
      <c r="J144" s="85"/>
      <c r="K144" s="138"/>
      <c r="L144" s="44"/>
      <c r="M144" s="44"/>
      <c r="N144" s="20"/>
    </row>
    <row r="145" spans="1:14" ht="40.5" customHeight="1">
      <c r="B145" s="29">
        <v>76</v>
      </c>
      <c r="C145" t="s">
        <v>158</v>
      </c>
      <c r="D145" t="s">
        <v>293</v>
      </c>
      <c r="E145" t="s">
        <v>294</v>
      </c>
      <c r="F145" s="99">
        <v>4454.3519999999999</v>
      </c>
      <c r="G145" s="101"/>
      <c r="H145" s="101">
        <v>0</v>
      </c>
      <c r="I145" s="103">
        <v>0</v>
      </c>
      <c r="J145" s="54">
        <f>+F145+G145-H145-I145</f>
        <v>4454.3519999999999</v>
      </c>
      <c r="K145" s="140"/>
      <c r="L145" s="44"/>
      <c r="M145" s="141"/>
      <c r="N145" s="20"/>
    </row>
    <row r="146" spans="1:14" ht="27" customHeight="1">
      <c r="F146" s="109">
        <f>+F145</f>
        <v>4454.3519999999999</v>
      </c>
      <c r="G146" s="106">
        <f>+G145</f>
        <v>0</v>
      </c>
      <c r="H146" s="106">
        <f>+H145</f>
        <v>0</v>
      </c>
      <c r="I146" s="109">
        <f>+I145</f>
        <v>0</v>
      </c>
      <c r="J146" s="55">
        <f>+J145</f>
        <v>4454.3519999999999</v>
      </c>
      <c r="K146" s="138"/>
      <c r="L146" s="44"/>
      <c r="M146" s="44"/>
      <c r="N146" s="20"/>
    </row>
    <row r="147" spans="1:14" ht="27" customHeight="1">
      <c r="D147" s="29" t="s">
        <v>295</v>
      </c>
      <c r="F147" s="84"/>
      <c r="G147" s="84"/>
      <c r="H147" s="84"/>
      <c r="J147" s="85"/>
      <c r="K147" s="138"/>
      <c r="L147" s="44"/>
      <c r="M147" s="44"/>
      <c r="N147" s="20"/>
    </row>
    <row r="148" spans="1:14" ht="27" customHeight="1">
      <c r="B148" s="29">
        <v>77</v>
      </c>
      <c r="C148" t="s">
        <v>158</v>
      </c>
      <c r="D148" t="s">
        <v>296</v>
      </c>
      <c r="E148" t="s">
        <v>297</v>
      </c>
      <c r="F148" s="99">
        <v>3365.712</v>
      </c>
      <c r="G148" s="101"/>
      <c r="H148" s="101">
        <v>0</v>
      </c>
      <c r="I148" s="103">
        <v>0</v>
      </c>
      <c r="J148" s="54">
        <f>+F148+G148-H148-I148</f>
        <v>3365.712</v>
      </c>
      <c r="K148" s="140"/>
      <c r="L148" s="44"/>
      <c r="M148" s="44"/>
      <c r="N148" s="20"/>
    </row>
    <row r="149" spans="1:14" ht="32.25" customHeight="1">
      <c r="F149" s="109">
        <f>+F148</f>
        <v>3365.712</v>
      </c>
      <c r="G149" s="106">
        <f>+G148</f>
        <v>0</v>
      </c>
      <c r="H149" s="106">
        <f>+H148</f>
        <v>0</v>
      </c>
      <c r="I149" s="109">
        <f>+I148</f>
        <v>0</v>
      </c>
      <c r="J149" s="55">
        <f>+J148</f>
        <v>3365.712</v>
      </c>
      <c r="K149" s="138"/>
      <c r="L149" s="44"/>
      <c r="M149" s="44"/>
      <c r="N149" s="20"/>
    </row>
    <row r="150" spans="1:14" ht="32.25" customHeight="1">
      <c r="D150" s="29" t="s">
        <v>298</v>
      </c>
      <c r="F150" s="84"/>
      <c r="G150" s="84"/>
      <c r="H150" s="84"/>
      <c r="J150" s="85"/>
      <c r="K150" s="138"/>
      <c r="L150" s="44"/>
      <c r="M150" s="44"/>
      <c r="N150" s="20"/>
    </row>
    <row r="151" spans="1:14" ht="32.25" customHeight="1">
      <c r="B151" s="29">
        <v>78</v>
      </c>
      <c r="C151" t="s">
        <v>158</v>
      </c>
      <c r="D151" s="152" t="s">
        <v>299</v>
      </c>
      <c r="E151" t="s">
        <v>300</v>
      </c>
      <c r="F151" s="20">
        <v>5274.8576999999996</v>
      </c>
      <c r="G151" s="84"/>
      <c r="H151" s="84"/>
      <c r="J151" s="97">
        <f>F151+G151-H151-I151</f>
        <v>5274.8576999999996</v>
      </c>
      <c r="K151" s="140"/>
      <c r="L151" s="44"/>
      <c r="M151" s="44"/>
      <c r="N151" s="20"/>
    </row>
    <row r="152" spans="1:14" ht="32.25" customHeight="1">
      <c r="B152" s="29">
        <v>79</v>
      </c>
      <c r="C152" t="s">
        <v>158</v>
      </c>
      <c r="D152" s="152" t="s">
        <v>301</v>
      </c>
      <c r="E152" t="s">
        <v>302</v>
      </c>
      <c r="F152" s="20">
        <v>2945.25</v>
      </c>
      <c r="G152" s="84"/>
      <c r="H152" s="84"/>
      <c r="J152" s="97">
        <f>F152+G152-H152-I152</f>
        <v>2945.25</v>
      </c>
      <c r="K152" s="140"/>
      <c r="L152" s="44"/>
      <c r="M152" s="44"/>
      <c r="N152" s="20"/>
    </row>
    <row r="153" spans="1:14" s="42" customFormat="1" ht="41.25" customHeight="1">
      <c r="A153" s="29"/>
      <c r="B153" s="29">
        <v>80</v>
      </c>
      <c r="C153" t="s">
        <v>158</v>
      </c>
      <c r="D153" s="152" t="s">
        <v>303</v>
      </c>
      <c r="E153" s="152" t="s">
        <v>304</v>
      </c>
      <c r="F153" s="167">
        <v>2793</v>
      </c>
      <c r="G153" s="168"/>
      <c r="H153" s="168"/>
      <c r="I153" s="174"/>
      <c r="J153" s="175">
        <f>F153+G153-H153-I153</f>
        <v>2793</v>
      </c>
      <c r="K153" s="176"/>
      <c r="L153" s="141"/>
      <c r="M153" s="141"/>
      <c r="N153" s="84"/>
    </row>
    <row r="154" spans="1:14" s="58" customFormat="1" ht="41.25" hidden="1" customHeight="1">
      <c r="A154" s="28"/>
      <c r="B154" s="28"/>
      <c r="C154" s="169"/>
      <c r="D154" s="170"/>
      <c r="E154" s="170"/>
      <c r="F154" s="171">
        <v>0</v>
      </c>
      <c r="G154" s="172"/>
      <c r="H154" s="172"/>
      <c r="I154" s="172"/>
      <c r="J154" s="171"/>
      <c r="K154" s="177"/>
      <c r="L154" s="178"/>
      <c r="M154" s="178"/>
      <c r="N154" s="179"/>
    </row>
    <row r="155" spans="1:14" ht="32.25" customHeight="1">
      <c r="B155" s="29">
        <v>81</v>
      </c>
      <c r="C155" t="s">
        <v>158</v>
      </c>
      <c r="D155" s="173" t="s">
        <v>305</v>
      </c>
      <c r="E155" t="s">
        <v>306</v>
      </c>
      <c r="F155" s="99">
        <v>5274.8576999999996</v>
      </c>
      <c r="G155" s="103"/>
      <c r="H155" s="103">
        <v>0</v>
      </c>
      <c r="I155" s="103">
        <v>0</v>
      </c>
      <c r="J155" s="54">
        <f>+F155+G155-H155-I155</f>
        <v>5274.8576999999996</v>
      </c>
      <c r="K155" s="140"/>
      <c r="L155" s="44"/>
      <c r="M155" s="44"/>
      <c r="N155" s="20"/>
    </row>
    <row r="156" spans="1:14" ht="32.25" customHeight="1">
      <c r="F156" s="109">
        <f>SUM(F151:F155)</f>
        <v>16287.965400000001</v>
      </c>
      <c r="G156" s="109">
        <f>SUM(G151:G155)</f>
        <v>0</v>
      </c>
      <c r="H156" s="109">
        <f>SUM(H151:H155)</f>
        <v>0</v>
      </c>
      <c r="I156" s="109">
        <f>SUM(I151:I155)</f>
        <v>0</v>
      </c>
      <c r="J156" s="109">
        <f>SUM(J151:J155)</f>
        <v>16287.965400000001</v>
      </c>
      <c r="K156" s="138"/>
      <c r="L156" s="44"/>
      <c r="M156" s="44"/>
      <c r="N156" s="20"/>
    </row>
    <row r="157" spans="1:14" ht="27" customHeight="1">
      <c r="D157" s="29" t="s">
        <v>82</v>
      </c>
      <c r="F157" s="109"/>
      <c r="G157" s="106"/>
      <c r="H157" s="106"/>
      <c r="I157" s="109"/>
      <c r="J157" s="55"/>
      <c r="K157" s="138"/>
      <c r="L157" s="44"/>
      <c r="M157" s="44"/>
      <c r="N157" s="20"/>
    </row>
    <row r="158" spans="1:14" ht="27" customHeight="1">
      <c r="B158" s="29">
        <v>82</v>
      </c>
      <c r="C158" t="s">
        <v>158</v>
      </c>
      <c r="D158" t="s">
        <v>307</v>
      </c>
      <c r="E158" t="s">
        <v>274</v>
      </c>
      <c r="F158" s="99">
        <v>3175.2</v>
      </c>
      <c r="G158" s="101"/>
      <c r="H158" s="101"/>
      <c r="I158" s="103"/>
      <c r="J158" s="54">
        <f>F158+G158-H158-I158</f>
        <v>3175.2</v>
      </c>
      <c r="K158" s="140"/>
      <c r="L158" s="44"/>
      <c r="M158" s="44"/>
      <c r="N158" s="20"/>
    </row>
    <row r="159" spans="1:14" ht="32.25" customHeight="1">
      <c r="F159" s="109">
        <f>+F158</f>
        <v>3175.2</v>
      </c>
      <c r="G159" s="106"/>
      <c r="H159" s="106"/>
      <c r="I159" s="109"/>
      <c r="J159" s="55">
        <f>F159+G159-H159-I159</f>
        <v>3175.2</v>
      </c>
      <c r="K159" s="138"/>
      <c r="L159" s="44"/>
      <c r="M159" s="44"/>
      <c r="N159" s="20"/>
    </row>
    <row r="160" spans="1:14" ht="9.75" hidden="1" customHeight="1">
      <c r="F160" s="109"/>
      <c r="G160" s="106"/>
      <c r="H160" s="106"/>
      <c r="I160" s="109"/>
      <c r="J160" s="55"/>
      <c r="K160" s="138"/>
      <c r="L160" s="44"/>
      <c r="M160" s="44"/>
      <c r="N160" s="20"/>
    </row>
    <row r="161" spans="1:14" ht="27" hidden="1" customHeight="1">
      <c r="D161" s="29"/>
      <c r="F161" s="109"/>
      <c r="G161" s="106"/>
      <c r="H161" s="106"/>
      <c r="I161" s="109"/>
      <c r="J161" s="55"/>
      <c r="K161" s="138"/>
      <c r="L161" s="44"/>
      <c r="M161" s="44"/>
      <c r="N161" s="20"/>
    </row>
    <row r="162" spans="1:14" ht="27" hidden="1" customHeight="1">
      <c r="F162" s="104"/>
      <c r="G162" s="109"/>
      <c r="H162" s="109"/>
      <c r="I162" s="109"/>
      <c r="J162" s="39"/>
      <c r="K162" s="164"/>
      <c r="L162" s="180"/>
      <c r="M162" s="44"/>
      <c r="N162" s="20"/>
    </row>
    <row r="163" spans="1:14" ht="24.75" hidden="1" customHeight="1">
      <c r="F163" s="109">
        <f>+F162</f>
        <v>0</v>
      </c>
      <c r="G163" s="109"/>
      <c r="H163" s="109"/>
      <c r="I163" s="109"/>
      <c r="J163" s="55"/>
      <c r="K163" s="164"/>
      <c r="L163" s="180"/>
      <c r="M163" s="44"/>
      <c r="N163" s="20"/>
    </row>
    <row r="164" spans="1:14" ht="24.75" hidden="1" customHeight="1">
      <c r="F164" s="109"/>
      <c r="G164" s="109"/>
      <c r="H164" s="109"/>
      <c r="I164" s="109"/>
      <c r="J164" s="55"/>
      <c r="K164" s="164"/>
      <c r="L164" s="180"/>
      <c r="M164" s="44"/>
      <c r="N164" s="20"/>
    </row>
    <row r="165" spans="1:14" ht="27" customHeight="1">
      <c r="D165" s="29" t="s">
        <v>308</v>
      </c>
      <c r="F165" s="109"/>
      <c r="G165" s="106"/>
      <c r="H165" s="106"/>
      <c r="I165" s="109"/>
      <c r="J165" s="55"/>
      <c r="K165" s="138"/>
      <c r="L165" s="44"/>
      <c r="M165" s="44"/>
      <c r="N165" s="20"/>
    </row>
    <row r="166" spans="1:14" ht="27" customHeight="1">
      <c r="B166" s="29">
        <v>83</v>
      </c>
      <c r="C166" t="s">
        <v>158</v>
      </c>
      <c r="D166" t="s">
        <v>309</v>
      </c>
      <c r="E166" t="s">
        <v>300</v>
      </c>
      <c r="F166" s="99">
        <v>5274.8576999999996</v>
      </c>
      <c r="G166" s="101"/>
      <c r="H166" s="101"/>
      <c r="I166" s="103">
        <v>500</v>
      </c>
      <c r="J166" s="54">
        <f>F166+G166-H166-I166</f>
        <v>4774.8576999999996</v>
      </c>
      <c r="K166" s="140"/>
      <c r="L166" s="44"/>
      <c r="M166" s="44"/>
      <c r="N166" s="20"/>
    </row>
    <row r="167" spans="1:14" ht="32.25" customHeight="1">
      <c r="F167" s="109">
        <f>+F166</f>
        <v>5274.8576999999996</v>
      </c>
      <c r="G167" s="106">
        <f>+G166</f>
        <v>0</v>
      </c>
      <c r="H167" s="106">
        <f>+H166</f>
        <v>0</v>
      </c>
      <c r="I167" s="109">
        <f>+I166</f>
        <v>500</v>
      </c>
      <c r="J167" s="55">
        <f>F167+G167-H167-I167</f>
        <v>4774.8576999999996</v>
      </c>
      <c r="K167" s="138"/>
      <c r="L167" s="44"/>
      <c r="M167" s="44"/>
      <c r="N167" s="20"/>
    </row>
    <row r="168" spans="1:14" ht="27" hidden="1" customHeight="1">
      <c r="D168" s="29"/>
      <c r="F168" s="109"/>
      <c r="G168" s="106"/>
      <c r="H168" s="106"/>
      <c r="I168" s="109"/>
      <c r="J168" s="55"/>
      <c r="K168" s="138"/>
      <c r="L168" s="44"/>
      <c r="M168" s="44"/>
      <c r="N168" s="20"/>
    </row>
    <row r="169" spans="1:14" ht="27" hidden="1" customHeight="1">
      <c r="F169" s="99"/>
      <c r="G169" s="101"/>
      <c r="H169" s="101"/>
      <c r="I169" s="103"/>
      <c r="J169" s="54"/>
      <c r="K169" s="140"/>
      <c r="L169" s="44"/>
      <c r="M169" s="44"/>
      <c r="N169" s="20"/>
    </row>
    <row r="170" spans="1:14" ht="22.5" hidden="1" customHeight="1">
      <c r="F170" s="109"/>
      <c r="G170" s="106"/>
      <c r="H170" s="106"/>
      <c r="I170" s="109"/>
      <c r="J170" s="55"/>
      <c r="K170" s="138"/>
      <c r="L170" s="44"/>
      <c r="M170" s="44"/>
      <c r="N170" s="20"/>
    </row>
    <row r="171" spans="1:14" ht="32.25" hidden="1" customHeight="1">
      <c r="D171" s="29"/>
      <c r="F171" s="109"/>
      <c r="G171" s="106"/>
      <c r="H171" s="106"/>
      <c r="I171" s="109"/>
      <c r="J171" s="55"/>
      <c r="K171" s="138"/>
      <c r="L171" s="44"/>
      <c r="M171" s="44"/>
      <c r="N171" s="20"/>
    </row>
    <row r="172" spans="1:14" ht="32.25" hidden="1" customHeight="1">
      <c r="B172" s="29">
        <v>77</v>
      </c>
      <c r="F172" s="99"/>
      <c r="G172" s="101"/>
      <c r="H172" s="101"/>
      <c r="I172" s="103"/>
      <c r="J172" s="54"/>
      <c r="K172" s="140"/>
      <c r="L172" s="44"/>
      <c r="M172" s="44"/>
      <c r="N172" s="20"/>
    </row>
    <row r="173" spans="1:14" ht="22.5" hidden="1" customHeight="1">
      <c r="F173" s="109"/>
      <c r="G173" s="106">
        <f>+G172</f>
        <v>0</v>
      </c>
      <c r="H173" s="106">
        <f>+H172</f>
        <v>0</v>
      </c>
      <c r="I173" s="109">
        <f>+I172</f>
        <v>0</v>
      </c>
      <c r="J173" s="55">
        <f>+J172</f>
        <v>0</v>
      </c>
      <c r="K173" s="158"/>
      <c r="L173" s="44"/>
      <c r="M173" s="44"/>
      <c r="N173" s="20"/>
    </row>
    <row r="174" spans="1:14" ht="22.5" customHeight="1">
      <c r="F174" s="109"/>
      <c r="G174" s="106"/>
      <c r="H174" s="106"/>
      <c r="I174" s="109"/>
      <c r="J174" s="55"/>
      <c r="K174" s="158"/>
      <c r="L174" s="44"/>
      <c r="M174" s="44"/>
      <c r="N174" s="20"/>
    </row>
    <row r="175" spans="1:14" ht="27" customHeight="1">
      <c r="D175" s="29" t="s">
        <v>310</v>
      </c>
      <c r="F175" s="109"/>
      <c r="G175" s="106"/>
      <c r="H175" s="106"/>
      <c r="I175" s="109"/>
      <c r="J175" s="55"/>
      <c r="K175" s="158"/>
      <c r="L175" s="45"/>
      <c r="M175" s="45"/>
      <c r="N175" s="105"/>
    </row>
    <row r="176" spans="1:14" s="42" customFormat="1" ht="30.75" customHeight="1">
      <c r="A176" s="29" t="s">
        <v>171</v>
      </c>
      <c r="B176" s="29">
        <v>84</v>
      </c>
      <c r="C176" t="s">
        <v>158</v>
      </c>
      <c r="D176" s="152" t="s">
        <v>311</v>
      </c>
      <c r="E176" t="s">
        <v>312</v>
      </c>
      <c r="F176" s="104">
        <v>3889.62</v>
      </c>
      <c r="G176" s="106">
        <f>800</f>
        <v>800</v>
      </c>
      <c r="H176" s="106"/>
      <c r="I176" s="109"/>
      <c r="J176" s="39">
        <f>F176+G176-H176-I176</f>
        <v>4689.62</v>
      </c>
      <c r="K176" s="160"/>
      <c r="L176" s="144"/>
      <c r="M176" s="144"/>
      <c r="N176" s="106"/>
    </row>
    <row r="177" spans="1:14" ht="27" customHeight="1">
      <c r="B177" s="29">
        <v>85</v>
      </c>
      <c r="C177" t="s">
        <v>158</v>
      </c>
      <c r="D177" t="s">
        <v>313</v>
      </c>
      <c r="E177" t="s">
        <v>304</v>
      </c>
      <c r="F177" s="99">
        <v>3175.2</v>
      </c>
      <c r="G177" s="101"/>
      <c r="H177" s="101"/>
      <c r="I177" s="103">
        <v>500</v>
      </c>
      <c r="J177" s="54">
        <f>+F177+G177-H177-I177</f>
        <v>2675.2</v>
      </c>
      <c r="K177" s="140"/>
      <c r="L177" s="45"/>
      <c r="M177" s="45"/>
      <c r="N177" s="105"/>
    </row>
    <row r="178" spans="1:14" ht="27" customHeight="1">
      <c r="F178" s="109">
        <f>SUM(F176:F177)</f>
        <v>7064.82</v>
      </c>
      <c r="G178" s="106">
        <f>+G176+G177</f>
        <v>800</v>
      </c>
      <c r="H178" s="106">
        <f>+H176+H177</f>
        <v>0</v>
      </c>
      <c r="I178" s="109">
        <f>+I176+I177</f>
        <v>500</v>
      </c>
      <c r="J178" s="55">
        <f>SUM(J176:J177)</f>
        <v>7364.82</v>
      </c>
      <c r="K178" s="158"/>
      <c r="L178" s="45"/>
      <c r="M178" s="45"/>
      <c r="N178" s="105"/>
    </row>
    <row r="179" spans="1:14" ht="18" customHeight="1">
      <c r="F179" s="109"/>
      <c r="G179" s="106"/>
      <c r="H179" s="106"/>
      <c r="I179" s="109"/>
      <c r="J179" s="55"/>
      <c r="K179" s="158"/>
      <c r="L179" s="45"/>
      <c r="M179" s="45"/>
      <c r="N179" s="105"/>
    </row>
    <row r="180" spans="1:14" ht="18.75">
      <c r="D180" s="29" t="s">
        <v>314</v>
      </c>
      <c r="F180" s="109"/>
      <c r="G180" s="106"/>
      <c r="H180" s="106"/>
      <c r="I180" s="109"/>
      <c r="J180" s="55"/>
      <c r="K180" s="158"/>
      <c r="L180" s="45"/>
      <c r="M180" s="45"/>
      <c r="N180" s="105"/>
    </row>
    <row r="181" spans="1:14" ht="18.75">
      <c r="B181" s="29">
        <v>86</v>
      </c>
      <c r="C181" t="s">
        <v>158</v>
      </c>
      <c r="D181" s="152" t="s">
        <v>315</v>
      </c>
      <c r="E181" t="s">
        <v>300</v>
      </c>
      <c r="F181" s="104">
        <v>5274.8576999999996</v>
      </c>
      <c r="G181" s="106"/>
      <c r="H181" s="106"/>
      <c r="I181" s="109"/>
      <c r="J181" s="39">
        <f>F181+G181-H181-I181</f>
        <v>5274.8576999999996</v>
      </c>
      <c r="K181" s="140"/>
      <c r="L181" s="45"/>
      <c r="M181" s="45"/>
      <c r="N181" s="105"/>
    </row>
    <row r="182" spans="1:14" ht="27" customHeight="1">
      <c r="A182" s="29" t="s">
        <v>171</v>
      </c>
      <c r="B182" s="29">
        <v>87</v>
      </c>
      <c r="C182" t="s">
        <v>158</v>
      </c>
      <c r="D182" s="152" t="s">
        <v>316</v>
      </c>
      <c r="E182" t="s">
        <v>304</v>
      </c>
      <c r="F182" s="99">
        <v>3606.12</v>
      </c>
      <c r="G182" s="101"/>
      <c r="H182" s="101"/>
      <c r="I182" s="103"/>
      <c r="J182" s="54">
        <f>F182+G182-H182-I182</f>
        <v>3606.12</v>
      </c>
      <c r="K182" s="140"/>
      <c r="L182" s="45" t="s">
        <v>317</v>
      </c>
      <c r="M182" s="45"/>
      <c r="N182" s="105"/>
    </row>
    <row r="183" spans="1:14" ht="32.25" customHeight="1">
      <c r="F183" s="109">
        <f>SUM(F181:F182)</f>
        <v>8880.9776999999995</v>
      </c>
      <c r="G183" s="109">
        <f>SUM(G181:G182)</f>
        <v>0</v>
      </c>
      <c r="H183" s="109">
        <f>SUM(H181:H182)</f>
        <v>0</v>
      </c>
      <c r="I183" s="109">
        <f>SUM(I181:I182)</f>
        <v>0</v>
      </c>
      <c r="J183" s="109">
        <f>SUM(J181:J182)</f>
        <v>8880.9776999999995</v>
      </c>
      <c r="K183" s="158"/>
      <c r="L183" s="45"/>
      <c r="M183" s="45"/>
      <c r="N183" s="105"/>
    </row>
    <row r="184" spans="1:14" ht="12" customHeight="1">
      <c r="F184" s="109"/>
      <c r="G184" s="106"/>
      <c r="H184" s="106"/>
      <c r="I184" s="109"/>
      <c r="J184" s="55"/>
      <c r="K184" s="158"/>
      <c r="L184" s="45"/>
      <c r="M184" s="45"/>
      <c r="N184" s="105"/>
    </row>
    <row r="185" spans="1:14" ht="18" customHeight="1">
      <c r="D185" s="29" t="s">
        <v>318</v>
      </c>
      <c r="F185" s="109"/>
      <c r="G185" s="106"/>
      <c r="H185" s="106"/>
      <c r="I185" s="109"/>
      <c r="J185" s="55"/>
      <c r="K185" s="158"/>
      <c r="L185" s="45"/>
      <c r="M185" s="45"/>
      <c r="N185" s="105"/>
    </row>
    <row r="186" spans="1:14" ht="32.25" customHeight="1">
      <c r="B186" s="29">
        <v>88</v>
      </c>
      <c r="C186" t="s">
        <v>158</v>
      </c>
      <c r="D186" t="s">
        <v>319</v>
      </c>
      <c r="E186" t="s">
        <v>300</v>
      </c>
      <c r="F186" s="99">
        <v>4707.8576999999996</v>
      </c>
      <c r="G186" s="101"/>
      <c r="H186" s="101"/>
      <c r="I186" s="103"/>
      <c r="J186" s="54">
        <f>F186+G186-H186-I186</f>
        <v>4707.8576999999996</v>
      </c>
      <c r="K186" s="140"/>
      <c r="L186" s="45"/>
      <c r="M186" s="45"/>
      <c r="N186" s="105"/>
    </row>
    <row r="187" spans="1:14" ht="32.25" customHeight="1">
      <c r="F187" s="109">
        <f>+F186</f>
        <v>4707.8576999999996</v>
      </c>
      <c r="G187" s="106">
        <f>+G186</f>
        <v>0</v>
      </c>
      <c r="H187" s="106">
        <f>+H186</f>
        <v>0</v>
      </c>
      <c r="I187" s="109">
        <f>+I186</f>
        <v>0</v>
      </c>
      <c r="J187" s="55">
        <f>+J186</f>
        <v>4707.8576999999996</v>
      </c>
      <c r="K187" s="158"/>
      <c r="L187" s="45"/>
      <c r="M187" s="45"/>
      <c r="N187" s="105"/>
    </row>
    <row r="188" spans="1:14" ht="15" customHeight="1">
      <c r="F188" s="109"/>
      <c r="G188" s="106"/>
      <c r="H188" s="106"/>
      <c r="I188" s="109"/>
      <c r="J188" s="55"/>
      <c r="K188" s="158"/>
      <c r="L188" s="45"/>
      <c r="M188" s="45"/>
      <c r="N188" s="105"/>
    </row>
    <row r="189" spans="1:14" ht="32.25" customHeight="1">
      <c r="B189"/>
      <c r="D189" s="29" t="s">
        <v>320</v>
      </c>
      <c r="F189" s="109"/>
      <c r="G189" s="106"/>
      <c r="H189" s="106"/>
      <c r="I189" s="109"/>
      <c r="J189" s="55"/>
      <c r="K189" s="158"/>
      <c r="L189" s="45"/>
      <c r="M189" s="45"/>
      <c r="N189" s="105"/>
    </row>
    <row r="190" spans="1:14" ht="32.25" customHeight="1">
      <c r="B190" s="29">
        <v>89</v>
      </c>
      <c r="C190" t="s">
        <v>158</v>
      </c>
      <c r="D190" s="152" t="s">
        <v>321</v>
      </c>
      <c r="E190" s="152" t="s">
        <v>304</v>
      </c>
      <c r="F190" s="104">
        <v>2835</v>
      </c>
      <c r="G190" s="105"/>
      <c r="H190" s="105"/>
      <c r="I190" s="104"/>
      <c r="J190" s="39">
        <f>F190+G190-H190-I190</f>
        <v>2835</v>
      </c>
      <c r="K190" s="158"/>
      <c r="L190" s="45"/>
      <c r="M190" s="45"/>
      <c r="N190" s="105"/>
    </row>
    <row r="191" spans="1:14" ht="32.25" customHeight="1">
      <c r="B191" s="29">
        <v>90</v>
      </c>
      <c r="C191" t="s">
        <v>158</v>
      </c>
      <c r="D191" t="s">
        <v>322</v>
      </c>
      <c r="E191" t="s">
        <v>160</v>
      </c>
      <c r="F191" s="99">
        <v>6237</v>
      </c>
      <c r="G191" s="101"/>
      <c r="H191" s="101"/>
      <c r="I191" s="103">
        <v>0</v>
      </c>
      <c r="J191" s="54">
        <f>F191+G191-H191-I191</f>
        <v>6237</v>
      </c>
      <c r="K191" s="140"/>
      <c r="L191" s="45"/>
      <c r="M191" s="45"/>
      <c r="N191" s="105"/>
    </row>
    <row r="192" spans="1:14" ht="32.25" customHeight="1">
      <c r="F192" s="109">
        <f>SUM(F190:F191)</f>
        <v>9072</v>
      </c>
      <c r="G192" s="106">
        <f>SUM(G190:G191)</f>
        <v>0</v>
      </c>
      <c r="H192" s="106">
        <f>SUM(H190:H191)</f>
        <v>0</v>
      </c>
      <c r="I192" s="106">
        <f>SUM(I190:I191)</f>
        <v>0</v>
      </c>
      <c r="J192" s="106">
        <f>SUM(J190:J191)</f>
        <v>9072</v>
      </c>
      <c r="K192" s="158"/>
      <c r="L192" s="45"/>
      <c r="M192" s="45"/>
      <c r="N192" s="105"/>
    </row>
    <row r="193" spans="1:14" ht="32.25" customHeight="1">
      <c r="D193" s="29" t="s">
        <v>323</v>
      </c>
      <c r="F193" s="109"/>
      <c r="G193" s="106"/>
      <c r="H193" s="106"/>
      <c r="I193" s="109"/>
      <c r="J193" s="55"/>
      <c r="K193" s="158"/>
      <c r="L193" s="45"/>
      <c r="M193" s="45"/>
      <c r="N193" s="105"/>
    </row>
    <row r="194" spans="1:14" ht="32.25" customHeight="1">
      <c r="B194" s="29">
        <v>91</v>
      </c>
      <c r="C194" t="s">
        <v>158</v>
      </c>
      <c r="D194" t="s">
        <v>324</v>
      </c>
      <c r="E194" t="s">
        <v>304</v>
      </c>
      <c r="F194" s="99">
        <v>3175.2</v>
      </c>
      <c r="G194" s="101"/>
      <c r="H194" s="101"/>
      <c r="I194" s="103">
        <v>0</v>
      </c>
      <c r="J194" s="139">
        <f>F194+G194-H194-I194</f>
        <v>3175.2</v>
      </c>
      <c r="K194" s="140"/>
      <c r="L194" s="45"/>
      <c r="M194" s="45"/>
      <c r="N194" s="105"/>
    </row>
    <row r="195" spans="1:14" ht="32.25" customHeight="1">
      <c r="F195" s="109">
        <f>+F194</f>
        <v>3175.2</v>
      </c>
      <c r="G195" s="106">
        <f>+G194</f>
        <v>0</v>
      </c>
      <c r="H195" s="106">
        <f>+H194</f>
        <v>0</v>
      </c>
      <c r="I195" s="109">
        <f>+I194</f>
        <v>0</v>
      </c>
      <c r="J195" s="55">
        <f>+J194</f>
        <v>3175.2</v>
      </c>
      <c r="K195" s="158"/>
      <c r="L195" s="45"/>
      <c r="M195" s="45"/>
      <c r="N195" s="105"/>
    </row>
    <row r="196" spans="1:14" ht="32.25" customHeight="1">
      <c r="D196" s="29" t="s">
        <v>325</v>
      </c>
      <c r="F196" s="109"/>
      <c r="G196" s="106"/>
      <c r="H196" s="106"/>
      <c r="I196" s="109"/>
      <c r="J196" s="55"/>
      <c r="K196" s="158"/>
      <c r="L196" s="45"/>
      <c r="M196" s="45"/>
      <c r="N196" s="105"/>
    </row>
    <row r="197" spans="1:14" ht="32.25" customHeight="1">
      <c r="B197" s="29">
        <v>92</v>
      </c>
      <c r="C197" t="s">
        <v>158</v>
      </c>
      <c r="D197" t="s">
        <v>326</v>
      </c>
      <c r="E197" t="s">
        <v>300</v>
      </c>
      <c r="F197" s="99">
        <v>7686.3149999999996</v>
      </c>
      <c r="G197" s="101">
        <v>0</v>
      </c>
      <c r="H197" s="101"/>
      <c r="I197" s="103"/>
      <c r="J197" s="139">
        <f>F197+G197-H197-I197</f>
        <v>7686.3149999999996</v>
      </c>
      <c r="K197" s="140"/>
      <c r="L197" s="45"/>
      <c r="M197" s="45"/>
      <c r="N197" s="105"/>
    </row>
    <row r="198" spans="1:14" ht="32.25" customHeight="1">
      <c r="F198" s="109">
        <f>+F197</f>
        <v>7686.3149999999996</v>
      </c>
      <c r="G198" s="106">
        <f>+G197</f>
        <v>0</v>
      </c>
      <c r="H198" s="106">
        <f>+H197</f>
        <v>0</v>
      </c>
      <c r="I198" s="109">
        <f>+I197</f>
        <v>0</v>
      </c>
      <c r="J198" s="55">
        <f>+J197</f>
        <v>7686.3149999999996</v>
      </c>
      <c r="K198" s="158"/>
      <c r="L198" s="45"/>
      <c r="M198" s="45"/>
      <c r="N198" s="105"/>
    </row>
    <row r="199" spans="1:14" ht="32.25" customHeight="1">
      <c r="D199" s="29" t="s">
        <v>327</v>
      </c>
      <c r="F199" s="109"/>
      <c r="G199" s="106"/>
      <c r="H199" s="106"/>
      <c r="I199" s="109"/>
      <c r="J199" s="55"/>
      <c r="K199" s="158"/>
      <c r="L199" s="45"/>
      <c r="M199" s="45"/>
      <c r="N199" s="105"/>
    </row>
    <row r="200" spans="1:14" ht="32.25" customHeight="1">
      <c r="B200" s="29">
        <v>93</v>
      </c>
      <c r="C200" t="s">
        <v>158</v>
      </c>
      <c r="D200" t="s">
        <v>328</v>
      </c>
      <c r="E200" t="s">
        <v>304</v>
      </c>
      <c r="F200" s="104">
        <v>3150</v>
      </c>
      <c r="G200" s="106">
        <v>0</v>
      </c>
      <c r="H200" s="106">
        <v>0</v>
      </c>
      <c r="I200" s="109">
        <v>0</v>
      </c>
      <c r="J200" s="39">
        <f>F200+G200-H200-I200</f>
        <v>3150</v>
      </c>
      <c r="K200" s="140"/>
      <c r="L200" s="45"/>
      <c r="M200" s="45"/>
      <c r="N200" s="105"/>
    </row>
    <row r="201" spans="1:14" ht="32.25" customHeight="1">
      <c r="B201" s="29">
        <v>94</v>
      </c>
      <c r="C201" t="s">
        <v>158</v>
      </c>
      <c r="D201" t="s">
        <v>329</v>
      </c>
      <c r="E201" t="s">
        <v>304</v>
      </c>
      <c r="F201" s="99">
        <v>3150</v>
      </c>
      <c r="G201" s="101"/>
      <c r="H201" s="101"/>
      <c r="I201" s="103"/>
      <c r="J201" s="54">
        <f>F201+G201-H201-I201</f>
        <v>3150</v>
      </c>
      <c r="K201" s="190"/>
      <c r="L201" s="45"/>
      <c r="M201" s="45"/>
      <c r="N201" s="105"/>
    </row>
    <row r="202" spans="1:14" ht="32.25" customHeight="1">
      <c r="F202" s="109">
        <f>SUM(F200:F201)</f>
        <v>6300</v>
      </c>
      <c r="G202" s="109">
        <f>SUM(G200:G201)</f>
        <v>0</v>
      </c>
      <c r="H202" s="109">
        <f>SUM(H200:H201)</f>
        <v>0</v>
      </c>
      <c r="I202" s="109">
        <f>SUM(I200:I201)</f>
        <v>0</v>
      </c>
      <c r="J202" s="109">
        <f>SUM(J200:J201)</f>
        <v>6300</v>
      </c>
      <c r="K202" s="158"/>
      <c r="L202" s="45"/>
      <c r="M202" s="45"/>
      <c r="N202" s="105"/>
    </row>
    <row r="203" spans="1:14" ht="32.25" customHeight="1">
      <c r="D203" s="29" t="s">
        <v>330</v>
      </c>
      <c r="F203" s="109"/>
      <c r="G203" s="109"/>
      <c r="H203" s="109"/>
      <c r="I203" s="109"/>
      <c r="J203" s="109"/>
      <c r="K203" s="158"/>
      <c r="L203" s="45"/>
      <c r="M203" s="45"/>
      <c r="N203" s="105"/>
    </row>
    <row r="204" spans="1:14" ht="32.25" customHeight="1">
      <c r="B204" s="29">
        <v>95</v>
      </c>
      <c r="C204" t="s">
        <v>158</v>
      </c>
      <c r="D204" t="s">
        <v>331</v>
      </c>
      <c r="E204" t="s">
        <v>304</v>
      </c>
      <c r="F204" s="99">
        <v>3175.2</v>
      </c>
      <c r="G204" s="103">
        <v>0</v>
      </c>
      <c r="H204" s="103"/>
      <c r="I204" s="103">
        <v>0</v>
      </c>
      <c r="J204" s="99">
        <f>F204+G204-H204-I204</f>
        <v>3175.2</v>
      </c>
      <c r="K204" s="140"/>
      <c r="L204" s="45"/>
      <c r="M204" s="45"/>
      <c r="N204" s="105"/>
    </row>
    <row r="205" spans="1:14" ht="32.25" customHeight="1">
      <c r="F205" s="109">
        <f>+F204</f>
        <v>3175.2</v>
      </c>
      <c r="G205" s="109">
        <f>+G204</f>
        <v>0</v>
      </c>
      <c r="H205" s="109">
        <f>+H204</f>
        <v>0</v>
      </c>
      <c r="I205" s="109">
        <f>+I204</f>
        <v>0</v>
      </c>
      <c r="J205" s="109">
        <f>+J204</f>
        <v>3175.2</v>
      </c>
      <c r="K205" s="158"/>
      <c r="L205" s="45"/>
      <c r="M205" s="45"/>
      <c r="N205" s="105"/>
    </row>
    <row r="206" spans="1:14" ht="32.25" customHeight="1">
      <c r="D206" s="29" t="s">
        <v>332</v>
      </c>
      <c r="F206" s="109"/>
      <c r="G206" s="109"/>
      <c r="H206" s="109"/>
      <c r="I206" s="109"/>
      <c r="J206" s="109"/>
      <c r="K206" s="158"/>
      <c r="L206" s="45"/>
      <c r="M206" s="45"/>
      <c r="N206" s="105"/>
    </row>
    <row r="207" spans="1:14" ht="32.25" customHeight="1">
      <c r="A207" s="29" t="s">
        <v>135</v>
      </c>
      <c r="B207" s="29">
        <v>96</v>
      </c>
      <c r="C207" t="s">
        <v>158</v>
      </c>
      <c r="D207" s="287" t="s">
        <v>333</v>
      </c>
      <c r="E207" t="s">
        <v>334</v>
      </c>
      <c r="F207" s="104">
        <v>5460</v>
      </c>
      <c r="G207" s="109"/>
      <c r="H207" s="109">
        <v>0</v>
      </c>
      <c r="I207" s="109">
        <v>0</v>
      </c>
      <c r="J207" s="104">
        <f>F207+G207-H207-I207</f>
        <v>5460</v>
      </c>
      <c r="K207" s="140"/>
      <c r="L207" s="45"/>
      <c r="M207" s="45"/>
      <c r="N207" s="105"/>
    </row>
    <row r="208" spans="1:14" ht="32.25" customHeight="1">
      <c r="A208" s="29" t="s">
        <v>135</v>
      </c>
      <c r="B208" s="29">
        <v>97</v>
      </c>
      <c r="C208" t="s">
        <v>158</v>
      </c>
      <c r="D208" s="287" t="s">
        <v>335</v>
      </c>
      <c r="E208" t="s">
        <v>334</v>
      </c>
      <c r="F208" s="104">
        <v>5460</v>
      </c>
      <c r="G208" s="109"/>
      <c r="H208" s="109"/>
      <c r="I208" s="109"/>
      <c r="J208" s="104">
        <f>F208+G208-H208-I208</f>
        <v>5460</v>
      </c>
      <c r="K208" s="190"/>
      <c r="L208" s="45"/>
      <c r="M208" s="45"/>
      <c r="N208" s="105"/>
    </row>
    <row r="209" spans="1:18" ht="32.25" customHeight="1">
      <c r="A209" s="29" t="s">
        <v>135</v>
      </c>
      <c r="B209" s="29">
        <v>98</v>
      </c>
      <c r="C209" t="s">
        <v>158</v>
      </c>
      <c r="D209" s="287" t="s">
        <v>336</v>
      </c>
      <c r="E209" t="s">
        <v>334</v>
      </c>
      <c r="F209" s="104">
        <v>5460</v>
      </c>
      <c r="G209" s="109"/>
      <c r="H209" s="109"/>
      <c r="I209" s="109"/>
      <c r="J209" s="104">
        <f>F209+G209-H209-I209</f>
        <v>5460</v>
      </c>
      <c r="K209" s="190"/>
      <c r="L209" s="45"/>
      <c r="M209" s="45"/>
      <c r="N209" s="105"/>
    </row>
    <row r="210" spans="1:18" ht="32.25" customHeight="1">
      <c r="A210" s="29" t="s">
        <v>135</v>
      </c>
      <c r="B210" s="29">
        <v>99</v>
      </c>
      <c r="C210" t="s">
        <v>158</v>
      </c>
      <c r="D210" s="287" t="s">
        <v>337</v>
      </c>
      <c r="E210" t="s">
        <v>334</v>
      </c>
      <c r="F210" s="104">
        <v>5460</v>
      </c>
      <c r="G210" s="109"/>
      <c r="H210" s="109">
        <v>0</v>
      </c>
      <c r="I210" s="109">
        <v>0</v>
      </c>
      <c r="J210" s="104">
        <f>F210+G210-H210-I210</f>
        <v>5460</v>
      </c>
      <c r="K210" s="190"/>
      <c r="L210" s="45"/>
      <c r="M210" s="45"/>
      <c r="N210" s="105"/>
    </row>
    <row r="211" spans="1:18" s="42" customFormat="1" ht="30" customHeight="1">
      <c r="A211" s="29" t="s">
        <v>135</v>
      </c>
      <c r="B211" s="29">
        <v>100</v>
      </c>
      <c r="C211" t="s">
        <v>158</v>
      </c>
      <c r="D211" t="s">
        <v>338</v>
      </c>
      <c r="E211" t="s">
        <v>339</v>
      </c>
      <c r="F211" s="99">
        <v>3851.4</v>
      </c>
      <c r="G211" s="101"/>
      <c r="H211" s="101"/>
      <c r="I211" s="103"/>
      <c r="J211" s="54">
        <f t="shared" ref="J211" si="4">F211+G211-H211-I211</f>
        <v>3851.4</v>
      </c>
      <c r="K211" s="160"/>
      <c r="L211" s="141"/>
      <c r="M211" s="141"/>
    </row>
    <row r="212" spans="1:18" ht="32.25" customHeight="1">
      <c r="D212" s="152"/>
      <c r="F212" s="109">
        <f>SUM(F207:F211)</f>
        <v>25691.4</v>
      </c>
      <c r="G212" s="109">
        <f>SUM(G207:G211)</f>
        <v>0</v>
      </c>
      <c r="H212" s="109">
        <f>SUM(H207:H211)</f>
        <v>0</v>
      </c>
      <c r="I212" s="109">
        <f>SUM(I207:I211)</f>
        <v>0</v>
      </c>
      <c r="J212" s="109">
        <f>SUM(J207:J211)</f>
        <v>25691.4</v>
      </c>
      <c r="K212" s="158"/>
      <c r="L212" s="45"/>
      <c r="M212" s="45"/>
      <c r="N212" s="105"/>
    </row>
    <row r="213" spans="1:18" ht="32.25" customHeight="1">
      <c r="F213" s="109"/>
      <c r="G213" s="106"/>
      <c r="H213" s="106"/>
      <c r="I213" s="109"/>
      <c r="J213" s="29" t="s">
        <v>527</v>
      </c>
      <c r="K213" s="158"/>
      <c r="L213" s="45"/>
      <c r="M213" s="45"/>
      <c r="N213" s="105"/>
    </row>
    <row r="214" spans="1:18" ht="30" customHeight="1">
      <c r="D214" s="29" t="s">
        <v>107</v>
      </c>
      <c r="F214" s="181">
        <f>+F10+F14+F17+F26+F60+F66+F76+F80+F89+F111+F119+F128+F131+F137+F140+F146+F149+F156+F159+F167+F178+F183+F187+F192+F195+F198+F202+F205+F212</f>
        <v>380543.43520000007</v>
      </c>
      <c r="G214" s="181">
        <f>+G17+G26+G60+G66+G76+G111+G178</f>
        <v>10754.038399999999</v>
      </c>
      <c r="H214" s="181">
        <f>+H76</f>
        <v>1814.4</v>
      </c>
      <c r="I214" s="181">
        <f>+I60+I66+I167+I178</f>
        <v>2300</v>
      </c>
      <c r="J214" s="181">
        <f>+J10+J14+J17+J26+J60+J66+J76+J80+J89+J111+J119+J128+J131+J137+J140+J146+J149+J156+J159+J167+J178+J183+J187+J192+J195+J198+J202+J205+J212</f>
        <v>387183.07360000006</v>
      </c>
      <c r="K214" s="158"/>
      <c r="L214" s="45"/>
      <c r="M214" s="45"/>
      <c r="N214" s="20"/>
    </row>
    <row r="215" spans="1:18" ht="3" customHeight="1" thickTop="1">
      <c r="C215" s="88"/>
      <c r="D215" s="88"/>
      <c r="E215" s="88"/>
      <c r="F215" s="88"/>
      <c r="G215" s="52"/>
      <c r="H215" s="87"/>
      <c r="I215" s="155"/>
      <c r="J215" s="191"/>
      <c r="K215" s="88"/>
      <c r="L215" s="31"/>
      <c r="M215" s="47"/>
    </row>
    <row r="216" spans="1:18" ht="21" customHeight="1">
      <c r="C216" s="88"/>
      <c r="D216" s="159"/>
      <c r="E216" s="88"/>
      <c r="F216" s="88"/>
      <c r="G216" s="182"/>
      <c r="H216" s="87"/>
      <c r="I216" s="155"/>
      <c r="J216" s="35"/>
      <c r="K216" s="159"/>
      <c r="L216" s="31"/>
      <c r="M216" s="31"/>
    </row>
    <row r="217" spans="1:18" ht="30" customHeight="1">
      <c r="C217" s="88"/>
      <c r="D217" s="76" t="s">
        <v>108</v>
      </c>
      <c r="E217" s="87"/>
      <c r="F217" s="183"/>
      <c r="G217" s="183"/>
      <c r="H217" s="183"/>
      <c r="I217" s="192"/>
      <c r="J217" s="35">
        <f>F214+G214-H214-I214</f>
        <v>387183.07360000006</v>
      </c>
      <c r="K217" s="76" t="s">
        <v>522</v>
      </c>
      <c r="L217" s="31"/>
      <c r="M217" s="31"/>
    </row>
    <row r="218" spans="1:18" ht="19.5" customHeight="1">
      <c r="C218" s="88"/>
      <c r="D218" s="76" t="s">
        <v>109</v>
      </c>
      <c r="E218" s="87"/>
      <c r="F218" s="87"/>
      <c r="G218" s="87"/>
      <c r="H218" s="87"/>
      <c r="I218" s="155"/>
      <c r="J218" s="48"/>
      <c r="K218" s="76" t="s">
        <v>519</v>
      </c>
      <c r="L218" s="31"/>
      <c r="M218" s="31"/>
    </row>
    <row r="219" spans="1:18" ht="30" customHeight="1">
      <c r="C219" s="88"/>
      <c r="D219" s="87"/>
      <c r="E219" s="87"/>
      <c r="F219" s="87"/>
      <c r="G219" s="183"/>
      <c r="H219" s="87"/>
      <c r="I219" s="155"/>
      <c r="J219" s="48">
        <f>J214-J217</f>
        <v>0</v>
      </c>
      <c r="K219" s="87"/>
      <c r="L219" s="31"/>
      <c r="M219" s="31"/>
      <c r="N219" s="20"/>
      <c r="R219">
        <f>3120/15</f>
        <v>208</v>
      </c>
    </row>
    <row r="220" spans="1:18" ht="30" customHeight="1">
      <c r="C220" s="88"/>
      <c r="D220" s="87"/>
      <c r="E220" s="87"/>
      <c r="F220" s="87"/>
      <c r="G220" s="87"/>
      <c r="H220" s="87"/>
      <c r="I220" s="155"/>
      <c r="J220" s="183"/>
      <c r="K220" s="87"/>
      <c r="L220" s="31"/>
      <c r="M220" s="31"/>
      <c r="N220" s="20"/>
    </row>
    <row r="221" spans="1:18" ht="30" customHeight="1">
      <c r="C221" s="184"/>
      <c r="D221" s="184"/>
      <c r="E221" s="184"/>
      <c r="F221" s="184"/>
      <c r="G221" s="185"/>
      <c r="H221" s="185"/>
      <c r="I221" s="193"/>
      <c r="J221" s="191"/>
      <c r="K221" s="194"/>
      <c r="L221" s="31"/>
      <c r="M221" s="31"/>
      <c r="N221" s="105"/>
    </row>
    <row r="222" spans="1:18" ht="30" customHeight="1">
      <c r="C222" s="184"/>
      <c r="D222" s="184"/>
      <c r="E222" s="184"/>
      <c r="F222" s="186"/>
      <c r="G222" s="187"/>
      <c r="H222" s="187"/>
      <c r="I222" s="193"/>
      <c r="J222" s="195"/>
      <c r="K222" s="196"/>
      <c r="L222" s="45"/>
      <c r="M222" s="45"/>
      <c r="N222" s="105"/>
    </row>
    <row r="223" spans="1:18" ht="15" customHeight="1">
      <c r="C223" s="31"/>
      <c r="D223" s="31"/>
      <c r="E223" s="31"/>
      <c r="F223" s="31"/>
      <c r="G223" s="188"/>
      <c r="H223" s="188"/>
      <c r="I223" s="197"/>
      <c r="J223" s="31"/>
      <c r="K223" s="31"/>
      <c r="L223" s="31"/>
      <c r="M223" s="31"/>
      <c r="N223" s="105"/>
    </row>
    <row r="224" spans="1:18" ht="30" customHeight="1">
      <c r="I224" s="109"/>
      <c r="J224" s="35"/>
    </row>
    <row r="225" spans="6:15" ht="30" customHeight="1">
      <c r="F225" s="105"/>
      <c r="G225" s="106"/>
      <c r="H225" s="106"/>
      <c r="I225" s="109"/>
      <c r="J225" s="39"/>
      <c r="L225" s="105"/>
      <c r="M225" s="105"/>
      <c r="N225" s="105"/>
    </row>
    <row r="226" spans="6:15" ht="15" customHeight="1">
      <c r="F226" s="105"/>
      <c r="G226" s="106"/>
      <c r="H226" s="106"/>
      <c r="I226" s="109"/>
      <c r="J226" s="39"/>
      <c r="L226" s="105"/>
      <c r="M226" s="105"/>
      <c r="N226" s="105"/>
      <c r="O226" s="39"/>
    </row>
    <row r="227" spans="6:15" ht="30" customHeight="1">
      <c r="F227" s="105"/>
      <c r="G227" s="106"/>
      <c r="H227" s="106"/>
      <c r="I227" s="109"/>
      <c r="J227" s="39"/>
      <c r="K227" s="105"/>
      <c r="L227" s="105"/>
      <c r="M227" s="105"/>
      <c r="N227" s="105"/>
    </row>
    <row r="228" spans="6:15">
      <c r="I228" s="109"/>
      <c r="N228" s="106"/>
      <c r="O228" s="35"/>
    </row>
    <row r="229" spans="6:15">
      <c r="I229" s="109"/>
    </row>
    <row r="230" spans="6:15">
      <c r="F230" s="105"/>
      <c r="G230" s="106"/>
      <c r="H230" s="106"/>
      <c r="I230" s="109"/>
      <c r="K230" s="105"/>
      <c r="L230" s="105"/>
      <c r="M230" s="105"/>
      <c r="N230" s="39"/>
    </row>
    <row r="231" spans="6:15">
      <c r="F231" s="105"/>
      <c r="G231" s="106"/>
      <c r="H231" s="106"/>
      <c r="I231" s="109"/>
      <c r="J231" s="39"/>
      <c r="K231" s="105"/>
      <c r="L231" s="105"/>
      <c r="M231" s="105"/>
    </row>
    <row r="232" spans="6:15">
      <c r="I232" s="109"/>
    </row>
    <row r="233" spans="6:15">
      <c r="F233" s="105"/>
      <c r="G233" s="106"/>
      <c r="H233" s="106"/>
      <c r="I233" s="109"/>
      <c r="J233" s="39"/>
      <c r="K233" s="105"/>
      <c r="L233" s="105"/>
      <c r="M233" s="105"/>
    </row>
    <row r="234" spans="6:15">
      <c r="I234" s="109"/>
    </row>
    <row r="235" spans="6:15">
      <c r="I235" s="109"/>
    </row>
    <row r="236" spans="6:15">
      <c r="F236" s="105"/>
      <c r="G236" s="106"/>
      <c r="H236" s="106"/>
      <c r="I236" s="109"/>
      <c r="J236" s="39"/>
      <c r="K236" s="105"/>
      <c r="L236" s="105"/>
      <c r="M236" s="105"/>
      <c r="O236" s="63"/>
    </row>
    <row r="237" spans="6:15">
      <c r="F237" s="105"/>
      <c r="G237" s="106"/>
      <c r="H237" s="106"/>
      <c r="I237" s="109"/>
      <c r="J237" s="39"/>
      <c r="K237" s="105"/>
      <c r="L237" s="105"/>
      <c r="M237" s="105"/>
    </row>
    <row r="238" spans="6:15">
      <c r="I238" s="109"/>
    </row>
    <row r="239" spans="6:15" ht="30" customHeight="1">
      <c r="F239" s="105"/>
      <c r="G239" s="106"/>
      <c r="H239" s="106"/>
      <c r="I239" s="109"/>
      <c r="J239" s="39"/>
      <c r="K239" s="105"/>
      <c r="L239" s="105"/>
      <c r="M239" s="105"/>
    </row>
    <row r="240" spans="6:15">
      <c r="I240" s="109"/>
      <c r="N240" s="105"/>
    </row>
    <row r="241" spans="4:19">
      <c r="D241" s="29"/>
      <c r="F241" s="104"/>
      <c r="G241" s="109"/>
      <c r="H241" s="109"/>
      <c r="I241" s="109"/>
      <c r="J241" s="39"/>
      <c r="K241" s="104"/>
      <c r="L241" s="104"/>
      <c r="M241" s="104"/>
    </row>
    <row r="242" spans="4:19" ht="30" customHeight="1">
      <c r="F242" s="104"/>
      <c r="G242" s="109"/>
      <c r="H242" s="109"/>
      <c r="I242" s="109"/>
      <c r="J242" s="39"/>
      <c r="K242" s="104"/>
      <c r="L242" s="104"/>
      <c r="M242" s="104"/>
    </row>
    <row r="243" spans="4:19" ht="30" customHeight="1">
      <c r="F243" s="106"/>
      <c r="G243" s="106"/>
      <c r="H243" s="106"/>
      <c r="I243" s="109"/>
      <c r="J243" s="106"/>
      <c r="K243" s="105"/>
      <c r="L243" s="105"/>
      <c r="M243" s="105"/>
      <c r="N243" s="105"/>
    </row>
    <row r="244" spans="4:19" ht="30" customHeight="1">
      <c r="F244" s="105"/>
      <c r="G244" s="106"/>
      <c r="H244" s="106"/>
      <c r="I244" s="109"/>
      <c r="J244" s="39"/>
      <c r="K244" s="105"/>
      <c r="L244" s="105"/>
      <c r="M244" s="105"/>
      <c r="N244" s="105"/>
    </row>
    <row r="245" spans="4:19">
      <c r="I245" s="109"/>
      <c r="N245" s="105"/>
    </row>
    <row r="246" spans="4:19">
      <c r="I246" s="109"/>
    </row>
    <row r="247" spans="4:19" ht="30" customHeight="1">
      <c r="F247" s="105"/>
      <c r="G247" s="106"/>
      <c r="H247" s="189"/>
      <c r="I247" s="198"/>
      <c r="J247" s="39"/>
      <c r="K247" s="105"/>
      <c r="L247" s="105"/>
      <c r="M247" s="105"/>
      <c r="S247" s="105"/>
    </row>
    <row r="248" spans="4:19" ht="30" customHeight="1">
      <c r="I248" s="109"/>
    </row>
    <row r="249" spans="4:19">
      <c r="I249" s="109"/>
    </row>
    <row r="250" spans="4:19" ht="30" customHeight="1">
      <c r="F250" s="105"/>
      <c r="G250" s="106"/>
      <c r="H250" s="106"/>
      <c r="I250" s="109"/>
      <c r="J250" s="39"/>
      <c r="K250" s="105"/>
      <c r="L250" s="105"/>
      <c r="M250" s="105"/>
    </row>
    <row r="251" spans="4:19">
      <c r="I251" s="109"/>
      <c r="N251" s="105"/>
    </row>
    <row r="252" spans="4:19">
      <c r="I252" s="109"/>
    </row>
    <row r="253" spans="4:19" ht="30" customHeight="1">
      <c r="I253" s="109"/>
    </row>
    <row r="254" spans="4:19" ht="30" customHeight="1">
      <c r="F254" s="104"/>
      <c r="G254" s="109"/>
      <c r="H254" s="109"/>
      <c r="I254" s="109"/>
      <c r="J254" s="39"/>
      <c r="K254" s="104"/>
      <c r="L254" s="104"/>
      <c r="M254" s="104"/>
    </row>
    <row r="255" spans="4:19">
      <c r="F255" s="105"/>
      <c r="G255" s="106"/>
      <c r="H255" s="106"/>
      <c r="I255" s="109"/>
      <c r="J255" s="39"/>
      <c r="K255" s="105"/>
      <c r="L255" s="105"/>
      <c r="M255" s="105"/>
    </row>
    <row r="256" spans="4:19" ht="30" customHeight="1">
      <c r="I256" s="109"/>
      <c r="S256" s="105"/>
    </row>
    <row r="257" spans="4:14">
      <c r="I257" s="109"/>
    </row>
    <row r="258" spans="4:14" ht="15" customHeight="1">
      <c r="F258" s="105"/>
      <c r="G258" s="106"/>
      <c r="H258" s="106"/>
      <c r="I258" s="109"/>
      <c r="J258" s="39"/>
      <c r="K258" s="105"/>
      <c r="L258" s="105"/>
      <c r="M258" s="105"/>
    </row>
    <row r="259" spans="4:14" ht="30" customHeight="1">
      <c r="I259" s="109"/>
      <c r="N259" s="105"/>
    </row>
    <row r="260" spans="4:14" ht="30" customHeight="1">
      <c r="I260" s="109"/>
      <c r="N260" s="105"/>
    </row>
    <row r="261" spans="4:14" ht="30" customHeight="1">
      <c r="F261" s="105"/>
      <c r="G261" s="106"/>
      <c r="H261" s="106"/>
      <c r="I261" s="109"/>
      <c r="J261" s="39"/>
      <c r="K261" s="105"/>
      <c r="L261" s="105"/>
      <c r="M261" s="105"/>
      <c r="N261" s="105"/>
    </row>
    <row r="262" spans="4:14">
      <c r="I262" s="109"/>
      <c r="N262" s="105"/>
    </row>
    <row r="263" spans="4:14">
      <c r="D263" s="29"/>
      <c r="F263" s="105"/>
      <c r="G263" s="106"/>
      <c r="H263" s="106"/>
      <c r="I263" s="109"/>
      <c r="J263" s="39"/>
      <c r="K263" s="105"/>
      <c r="L263" s="105"/>
      <c r="M263" s="105"/>
    </row>
    <row r="264" spans="4:14" ht="30" customHeight="1">
      <c r="F264" s="105"/>
      <c r="G264" s="106"/>
      <c r="H264" s="106"/>
      <c r="I264" s="109"/>
      <c r="J264" s="39"/>
      <c r="K264" s="105"/>
      <c r="L264" s="105"/>
      <c r="M264" s="105"/>
    </row>
    <row r="265" spans="4:14">
      <c r="F265" s="106"/>
      <c r="G265" s="106"/>
      <c r="H265" s="106"/>
      <c r="I265" s="109"/>
      <c r="J265" s="106"/>
      <c r="K265" s="105"/>
      <c r="L265" s="105"/>
      <c r="M265" s="105"/>
    </row>
    <row r="266" spans="4:14">
      <c r="I266" s="109"/>
    </row>
    <row r="267" spans="4:14" ht="30" customHeight="1">
      <c r="F267" s="105"/>
      <c r="G267" s="106"/>
      <c r="H267" s="106"/>
      <c r="I267" s="109"/>
      <c r="J267" s="39"/>
      <c r="K267" s="105"/>
      <c r="L267" s="105"/>
      <c r="M267" s="105"/>
    </row>
    <row r="268" spans="4:14">
      <c r="I268" s="109"/>
    </row>
    <row r="269" spans="4:14">
      <c r="I269" s="109"/>
    </row>
    <row r="270" spans="4:14">
      <c r="I270" s="109"/>
    </row>
    <row r="271" spans="4:14" ht="30" customHeight="1">
      <c r="I271" s="109"/>
    </row>
    <row r="272" spans="4:14" ht="30" customHeight="1">
      <c r="I272" s="109"/>
      <c r="N272" s="105"/>
    </row>
    <row r="273" spans="4:14">
      <c r="D273" s="29"/>
      <c r="F273" s="105"/>
      <c r="G273" s="106"/>
      <c r="H273" s="106"/>
      <c r="I273" s="109"/>
      <c r="J273" s="39"/>
      <c r="K273" s="105"/>
      <c r="L273" s="105"/>
      <c r="M273" s="105"/>
      <c r="N273" s="105"/>
    </row>
    <row r="274" spans="4:14">
      <c r="F274" s="105"/>
      <c r="G274" s="106"/>
      <c r="H274" s="106"/>
      <c r="I274" s="109"/>
      <c r="J274" s="39"/>
      <c r="K274" s="105"/>
      <c r="L274" s="105"/>
      <c r="M274" s="105"/>
    </row>
    <row r="275" spans="4:14" ht="30" customHeight="1">
      <c r="F275" s="105"/>
      <c r="G275" s="106"/>
      <c r="H275" s="106"/>
      <c r="I275" s="109"/>
      <c r="J275" s="39"/>
      <c r="K275" s="105"/>
      <c r="L275" s="105"/>
      <c r="M275" s="105"/>
    </row>
    <row r="276" spans="4:14">
      <c r="F276" s="105"/>
      <c r="G276" s="106"/>
      <c r="H276" s="106"/>
      <c r="I276" s="109"/>
      <c r="J276" s="39"/>
      <c r="K276" s="105"/>
      <c r="L276" s="105"/>
      <c r="M276" s="105"/>
      <c r="N276" s="105"/>
    </row>
    <row r="277" spans="4:14">
      <c r="F277" s="105"/>
      <c r="G277" s="106"/>
      <c r="H277" s="106"/>
      <c r="I277" s="109"/>
      <c r="J277" s="39"/>
      <c r="K277" s="105"/>
      <c r="L277" s="105"/>
      <c r="M277" s="105"/>
    </row>
    <row r="278" spans="4:14" ht="30" customHeight="1">
      <c r="F278" s="105"/>
      <c r="G278" s="106"/>
      <c r="H278" s="106"/>
      <c r="I278" s="109"/>
      <c r="J278" s="39"/>
      <c r="K278" s="105"/>
      <c r="L278" s="105"/>
      <c r="M278" s="105"/>
    </row>
    <row r="279" spans="4:14">
      <c r="I279" s="109"/>
      <c r="N279" s="105"/>
    </row>
    <row r="280" spans="4:14" ht="15" customHeight="1">
      <c r="F280" s="105"/>
      <c r="G280" s="106"/>
      <c r="H280" s="106"/>
      <c r="I280" s="109"/>
      <c r="J280" s="39"/>
      <c r="K280" s="105"/>
      <c r="L280" s="105"/>
      <c r="M280" s="105"/>
    </row>
    <row r="281" spans="4:14" ht="30" customHeight="1">
      <c r="I281" s="109"/>
      <c r="N281" s="105"/>
    </row>
    <row r="282" spans="4:14" ht="30" customHeight="1">
      <c r="F282" s="105"/>
      <c r="G282" s="106"/>
      <c r="H282" s="106"/>
      <c r="I282" s="109"/>
      <c r="J282" s="39"/>
      <c r="K282" s="105"/>
      <c r="L282" s="105"/>
      <c r="M282" s="105"/>
      <c r="N282" s="105"/>
    </row>
    <row r="283" spans="4:14">
      <c r="I283" s="109"/>
      <c r="N283" s="105"/>
    </row>
    <row r="284" spans="4:14" ht="30" customHeight="1">
      <c r="I284" s="109"/>
    </row>
    <row r="285" spans="4:14">
      <c r="F285" s="105"/>
      <c r="G285" s="106"/>
      <c r="H285" s="106"/>
      <c r="I285" s="109"/>
      <c r="J285" s="39"/>
      <c r="K285" s="105"/>
      <c r="L285" s="105"/>
      <c r="M285" s="105"/>
      <c r="N285" s="105"/>
    </row>
    <row r="286" spans="4:14">
      <c r="I286" s="109"/>
    </row>
    <row r="287" spans="4:14">
      <c r="I287" s="109"/>
    </row>
    <row r="288" spans="4:14">
      <c r="D288" s="29"/>
      <c r="F288" s="105"/>
      <c r="G288" s="106"/>
      <c r="H288" s="106"/>
      <c r="I288" s="109"/>
      <c r="J288" s="39"/>
      <c r="K288" s="105"/>
      <c r="L288" s="105"/>
      <c r="M288" s="105"/>
    </row>
    <row r="289" spans="4:14">
      <c r="F289" s="105"/>
      <c r="G289" s="106"/>
      <c r="H289" s="106"/>
      <c r="I289" s="109"/>
      <c r="J289" s="39"/>
      <c r="K289" s="105"/>
      <c r="L289" s="105"/>
      <c r="M289" s="105"/>
    </row>
    <row r="290" spans="4:14" ht="15" customHeight="1">
      <c r="F290" s="106"/>
      <c r="G290" s="106"/>
      <c r="H290" s="106"/>
      <c r="I290" s="109"/>
      <c r="J290" s="106"/>
      <c r="K290" s="105"/>
      <c r="L290" s="105"/>
      <c r="M290" s="105"/>
    </row>
    <row r="291" spans="4:14" ht="30" customHeight="1">
      <c r="I291" s="109"/>
      <c r="N291" s="105"/>
    </row>
    <row r="292" spans="4:14" ht="30" customHeight="1">
      <c r="F292" s="105"/>
      <c r="G292" s="106"/>
      <c r="H292" s="106"/>
      <c r="I292" s="109"/>
      <c r="J292" s="39"/>
      <c r="K292" s="105"/>
      <c r="L292" s="105"/>
      <c r="M292" s="105"/>
      <c r="N292" s="105"/>
    </row>
    <row r="293" spans="4:14" ht="30" customHeight="1">
      <c r="I293" s="109"/>
    </row>
    <row r="294" spans="4:14" ht="30" customHeight="1">
      <c r="I294" s="109"/>
    </row>
    <row r="295" spans="4:14" ht="30" customHeight="1">
      <c r="F295" s="105"/>
      <c r="G295" s="106"/>
      <c r="H295" s="106"/>
      <c r="I295" s="109"/>
      <c r="J295" s="39"/>
      <c r="K295" s="105"/>
      <c r="L295" s="105"/>
      <c r="M295" s="105"/>
    </row>
    <row r="296" spans="4:14">
      <c r="I296" s="109"/>
      <c r="N296" s="105"/>
    </row>
    <row r="297" spans="4:14" ht="30" customHeight="1">
      <c r="I297" s="109"/>
    </row>
    <row r="298" spans="4:14">
      <c r="D298" s="29"/>
      <c r="F298" s="105"/>
      <c r="G298" s="106"/>
      <c r="H298" s="106"/>
      <c r="I298" s="109"/>
      <c r="J298" s="39"/>
      <c r="K298" s="105"/>
      <c r="L298" s="105"/>
      <c r="M298" s="105"/>
      <c r="N298" s="105"/>
    </row>
    <row r="299" spans="4:14" ht="30" customHeight="1">
      <c r="F299" s="105"/>
      <c r="G299" s="106"/>
      <c r="H299" s="106"/>
      <c r="I299" s="109"/>
      <c r="J299" s="39"/>
      <c r="K299" s="105"/>
      <c r="L299" s="105"/>
      <c r="M299" s="105"/>
    </row>
    <row r="300" spans="4:14">
      <c r="F300" s="106"/>
      <c r="G300" s="106"/>
      <c r="H300" s="106"/>
      <c r="I300" s="109"/>
      <c r="J300" s="106"/>
      <c r="K300" s="105"/>
      <c r="L300" s="105"/>
      <c r="M300" s="105"/>
      <c r="N300" s="105"/>
    </row>
    <row r="301" spans="4:14">
      <c r="F301" s="105"/>
      <c r="G301" s="106"/>
      <c r="H301" s="106"/>
      <c r="I301" s="109"/>
      <c r="J301" s="39"/>
      <c r="K301" s="105"/>
      <c r="L301" s="105"/>
      <c r="M301" s="105"/>
    </row>
    <row r="302" spans="4:14" ht="30" customHeight="1">
      <c r="I302" s="109"/>
    </row>
    <row r="303" spans="4:14">
      <c r="F303" s="104"/>
      <c r="G303" s="106"/>
      <c r="H303" s="106"/>
      <c r="I303" s="109"/>
      <c r="J303" s="39"/>
      <c r="K303" s="105"/>
      <c r="L303" s="105"/>
      <c r="M303" s="105"/>
      <c r="N303" s="105"/>
    </row>
    <row r="304" spans="4:14">
      <c r="F304" s="104"/>
      <c r="G304" s="106"/>
      <c r="H304" s="106"/>
      <c r="I304" s="109"/>
      <c r="J304" s="39"/>
      <c r="K304" s="105"/>
      <c r="L304" s="105"/>
      <c r="M304" s="105"/>
    </row>
    <row r="305" spans="4:19" ht="15" customHeight="1">
      <c r="F305" s="104"/>
      <c r="G305" s="106"/>
      <c r="H305" s="106"/>
      <c r="I305" s="109"/>
      <c r="J305" s="39"/>
      <c r="K305" s="105"/>
      <c r="L305" s="105"/>
      <c r="M305" s="105"/>
    </row>
    <row r="306" spans="4:19" ht="30" customHeight="1">
      <c r="F306" s="104"/>
      <c r="G306" s="106"/>
      <c r="H306" s="106"/>
      <c r="I306" s="109"/>
      <c r="J306" s="39"/>
      <c r="K306" s="105"/>
      <c r="L306" s="105"/>
      <c r="M306" s="105"/>
      <c r="N306" s="105"/>
    </row>
    <row r="307" spans="4:19" ht="30" customHeight="1">
      <c r="I307" s="109"/>
      <c r="N307" s="105"/>
    </row>
    <row r="308" spans="4:19">
      <c r="F308" s="104"/>
      <c r="G308" s="106"/>
      <c r="H308" s="106"/>
      <c r="I308" s="109"/>
      <c r="J308" s="39"/>
      <c r="K308" s="105"/>
      <c r="L308" s="105"/>
      <c r="M308" s="105"/>
      <c r="N308" s="105"/>
      <c r="O308" s="63"/>
    </row>
    <row r="309" spans="4:19" ht="30" customHeight="1">
      <c r="F309" s="104"/>
      <c r="G309" s="106"/>
      <c r="H309" s="106"/>
      <c r="I309" s="109"/>
      <c r="J309" s="39"/>
      <c r="K309" s="105"/>
      <c r="L309" s="105"/>
      <c r="M309" s="105"/>
      <c r="P309" s="294"/>
      <c r="Q309" s="294"/>
      <c r="R309" s="294"/>
      <c r="S309" s="294"/>
    </row>
    <row r="310" spans="4:19">
      <c r="F310" s="104"/>
      <c r="G310" s="106"/>
      <c r="H310" s="106"/>
      <c r="I310" s="109"/>
      <c r="J310" s="39"/>
      <c r="K310" s="105"/>
      <c r="L310" s="105"/>
      <c r="M310" s="105"/>
      <c r="N310" s="105"/>
    </row>
    <row r="311" spans="4:19">
      <c r="I311" s="109"/>
    </row>
    <row r="312" spans="4:19" ht="30" customHeight="1">
      <c r="I312" s="109"/>
    </row>
    <row r="313" spans="4:19">
      <c r="D313" s="29"/>
      <c r="F313" s="104"/>
      <c r="G313" s="106"/>
      <c r="H313" s="106"/>
      <c r="I313" s="109"/>
      <c r="J313" s="39"/>
      <c r="K313" s="105"/>
      <c r="L313" s="105"/>
      <c r="M313" s="105"/>
      <c r="N313" s="105"/>
    </row>
    <row r="314" spans="4:19">
      <c r="F314" s="104"/>
      <c r="G314" s="106"/>
      <c r="H314" s="106"/>
      <c r="I314" s="109"/>
      <c r="J314" s="39"/>
      <c r="K314" s="105"/>
      <c r="L314" s="105"/>
      <c r="M314" s="105"/>
    </row>
    <row r="315" spans="4:19" ht="15" customHeight="1">
      <c r="F315" s="109"/>
      <c r="G315" s="106"/>
      <c r="H315" s="106"/>
      <c r="I315" s="109"/>
      <c r="J315" s="106"/>
      <c r="K315" s="105"/>
      <c r="L315" s="105"/>
      <c r="M315" s="105"/>
    </row>
    <row r="316" spans="4:19" ht="30" customHeight="1">
      <c r="F316" s="104"/>
      <c r="G316" s="106"/>
      <c r="H316" s="106"/>
      <c r="I316" s="109"/>
      <c r="J316" s="39"/>
      <c r="K316" s="105"/>
      <c r="L316" s="105"/>
      <c r="M316" s="105"/>
      <c r="N316" s="105"/>
    </row>
    <row r="317" spans="4:19" ht="30" customHeight="1">
      <c r="I317" s="109"/>
      <c r="N317" s="105"/>
    </row>
    <row r="318" spans="4:19" ht="30" customHeight="1">
      <c r="I318" s="109"/>
      <c r="N318" s="105"/>
    </row>
    <row r="319" spans="4:19">
      <c r="F319" s="105"/>
      <c r="G319" s="106"/>
      <c r="H319" s="106"/>
      <c r="I319" s="109"/>
      <c r="J319" s="39"/>
      <c r="K319" s="105"/>
      <c r="L319" s="105"/>
      <c r="M319" s="105"/>
      <c r="N319" s="105"/>
    </row>
    <row r="320" spans="4:19" ht="30" customHeight="1">
      <c r="I320" s="109"/>
    </row>
    <row r="321" spans="6:16" ht="30" customHeight="1">
      <c r="I321" s="109"/>
      <c r="N321" s="105"/>
    </row>
    <row r="322" spans="6:16" ht="30" customHeight="1">
      <c r="F322" s="104"/>
      <c r="G322" s="106"/>
      <c r="H322" s="106"/>
      <c r="I322" s="109"/>
      <c r="J322" s="39"/>
      <c r="K322" s="105"/>
      <c r="L322" s="105"/>
      <c r="M322" s="105"/>
      <c r="N322" s="105"/>
    </row>
    <row r="323" spans="6:16" ht="30" customHeight="1">
      <c r="I323" s="109"/>
      <c r="N323" s="105"/>
    </row>
    <row r="324" spans="6:16">
      <c r="F324" s="104"/>
      <c r="G324" s="106"/>
      <c r="H324" s="106"/>
      <c r="I324" s="109"/>
      <c r="J324" s="39"/>
      <c r="K324" s="105"/>
      <c r="L324" s="105"/>
      <c r="M324" s="105"/>
      <c r="N324" s="105"/>
      <c r="O324" s="35"/>
    </row>
    <row r="325" spans="6:16" ht="30" customHeight="1">
      <c r="F325" s="104"/>
      <c r="G325" s="106"/>
      <c r="H325" s="106"/>
      <c r="I325" s="109"/>
      <c r="J325" s="39"/>
      <c r="K325" s="105"/>
      <c r="L325" s="105"/>
      <c r="M325" s="105"/>
      <c r="O325" s="35"/>
    </row>
    <row r="326" spans="6:16" ht="30" customHeight="1">
      <c r="I326" s="109"/>
      <c r="N326" s="63"/>
      <c r="O326" s="35"/>
    </row>
    <row r="327" spans="6:16" ht="30" customHeight="1">
      <c r="I327" s="109"/>
      <c r="N327" s="63"/>
    </row>
    <row r="328" spans="6:16">
      <c r="I328" s="109"/>
      <c r="N328" s="63"/>
    </row>
    <row r="329" spans="6:16">
      <c r="I329" s="109"/>
    </row>
    <row r="330" spans="6:16" ht="15" customHeight="1">
      <c r="I330" s="109"/>
    </row>
    <row r="331" spans="6:16" ht="30" customHeight="1">
      <c r="I331" s="109"/>
      <c r="N331" s="105"/>
    </row>
    <row r="332" spans="6:16" ht="30" customHeight="1">
      <c r="I332" s="109"/>
      <c r="N332" s="105"/>
      <c r="O332" s="199"/>
    </row>
    <row r="333" spans="6:16" ht="30" customHeight="1">
      <c r="I333" s="109"/>
      <c r="N333" s="105"/>
      <c r="P333" s="199"/>
    </row>
    <row r="334" spans="6:16">
      <c r="I334" s="109"/>
      <c r="N334" s="200"/>
    </row>
    <row r="335" spans="6:16">
      <c r="I335" s="109"/>
      <c r="O335" s="35"/>
    </row>
    <row r="336" spans="6:16" ht="30" customHeight="1">
      <c r="I336" s="109"/>
    </row>
    <row r="337" spans="6:15">
      <c r="I337" s="109"/>
      <c r="N337" s="63"/>
    </row>
    <row r="338" spans="6:15">
      <c r="I338" s="109"/>
      <c r="O338" s="35"/>
    </row>
    <row r="339" spans="6:15" ht="30" customHeight="1">
      <c r="F339" s="104"/>
      <c r="G339" s="106"/>
      <c r="H339" s="106"/>
      <c r="I339" s="109"/>
      <c r="J339" s="39"/>
      <c r="K339" s="105"/>
      <c r="L339" s="105"/>
      <c r="M339" s="105"/>
    </row>
    <row r="340" spans="6:15">
      <c r="I340" s="109"/>
      <c r="N340" s="63"/>
    </row>
    <row r="341" spans="6:15" ht="30" customHeight="1">
      <c r="F341" s="104"/>
      <c r="G341" s="106"/>
      <c r="H341" s="106"/>
      <c r="I341" s="109"/>
      <c r="J341" s="39"/>
      <c r="K341" s="105"/>
      <c r="L341" s="105"/>
      <c r="M341" s="105"/>
    </row>
    <row r="342" spans="6:15" ht="30" customHeight="1">
      <c r="I342" s="109"/>
      <c r="N342" s="105"/>
    </row>
    <row r="343" spans="6:15">
      <c r="I343" s="109"/>
      <c r="N343" s="105"/>
    </row>
    <row r="344" spans="6:15">
      <c r="I344" s="109"/>
    </row>
    <row r="345" spans="6:15">
      <c r="I345" s="109"/>
    </row>
    <row r="346" spans="6:15">
      <c r="I346" s="109"/>
    </row>
    <row r="347" spans="6:15">
      <c r="I347" s="109"/>
    </row>
    <row r="348" spans="6:15">
      <c r="I348" s="109"/>
    </row>
    <row r="349" spans="6:15">
      <c r="I349" s="109"/>
    </row>
    <row r="350" spans="6:15">
      <c r="I350" s="109"/>
    </row>
    <row r="351" spans="6:15">
      <c r="I351" s="109"/>
    </row>
    <row r="352" spans="6:15">
      <c r="I352" s="109"/>
    </row>
    <row r="353" spans="9:9">
      <c r="I353" s="109"/>
    </row>
    <row r="354" spans="9:9">
      <c r="I354" s="109"/>
    </row>
    <row r="355" spans="9:9">
      <c r="I355" s="109"/>
    </row>
    <row r="356" spans="9:9" ht="30" customHeight="1">
      <c r="I356" s="109"/>
    </row>
    <row r="357" spans="9:9">
      <c r="I357" s="109"/>
    </row>
    <row r="358" spans="9:9" ht="30" customHeight="1">
      <c r="I358" s="109"/>
    </row>
    <row r="359" spans="9:9">
      <c r="I359" s="109"/>
    </row>
    <row r="360" spans="9:9">
      <c r="I360" s="109"/>
    </row>
    <row r="361" spans="9:9">
      <c r="I361" s="109"/>
    </row>
    <row r="362" spans="9:9">
      <c r="I362" s="109"/>
    </row>
    <row r="363" spans="9:9">
      <c r="I363" s="109"/>
    </row>
    <row r="364" spans="9:9">
      <c r="I364" s="109"/>
    </row>
    <row r="365" spans="9:9">
      <c r="I365" s="109"/>
    </row>
    <row r="366" spans="9:9">
      <c r="I366" s="109"/>
    </row>
    <row r="367" spans="9:9">
      <c r="I367" s="109"/>
    </row>
    <row r="368" spans="9:9">
      <c r="I368" s="109"/>
    </row>
    <row r="369" spans="9:9">
      <c r="I369" s="109"/>
    </row>
    <row r="370" spans="9:9">
      <c r="I370" s="109"/>
    </row>
    <row r="371" spans="9:9">
      <c r="I371" s="109"/>
    </row>
    <row r="372" spans="9:9">
      <c r="I372" s="109"/>
    </row>
    <row r="373" spans="9:9">
      <c r="I373" s="109"/>
    </row>
    <row r="374" spans="9:9">
      <c r="I374" s="109"/>
    </row>
    <row r="375" spans="9:9">
      <c r="I375" s="109"/>
    </row>
    <row r="376" spans="9:9">
      <c r="I376" s="109"/>
    </row>
    <row r="377" spans="9:9">
      <c r="I377" s="109"/>
    </row>
    <row r="378" spans="9:9">
      <c r="I378" s="109"/>
    </row>
    <row r="379" spans="9:9">
      <c r="I379" s="109"/>
    </row>
    <row r="380" spans="9:9">
      <c r="I380" s="109"/>
    </row>
    <row r="381" spans="9:9">
      <c r="I381" s="109"/>
    </row>
    <row r="382" spans="9:9">
      <c r="I382" s="109"/>
    </row>
    <row r="383" spans="9:9">
      <c r="I383" s="109"/>
    </row>
    <row r="384" spans="9:9">
      <c r="I384" s="109"/>
    </row>
    <row r="385" spans="9:9">
      <c r="I385" s="109"/>
    </row>
    <row r="386" spans="9:9">
      <c r="I386" s="109"/>
    </row>
    <row r="387" spans="9:9">
      <c r="I387" s="109"/>
    </row>
    <row r="388" spans="9:9">
      <c r="I388" s="109"/>
    </row>
    <row r="389" spans="9:9">
      <c r="I389" s="109"/>
    </row>
    <row r="390" spans="9:9">
      <c r="I390" s="109"/>
    </row>
    <row r="391" spans="9:9">
      <c r="I391" s="109"/>
    </row>
    <row r="392" spans="9:9">
      <c r="I392" s="109"/>
    </row>
    <row r="393" spans="9:9">
      <c r="I393" s="109"/>
    </row>
    <row r="394" spans="9:9">
      <c r="I394" s="109"/>
    </row>
    <row r="395" spans="9:9">
      <c r="I395" s="109"/>
    </row>
    <row r="396" spans="9:9">
      <c r="I396" s="109"/>
    </row>
    <row r="397" spans="9:9">
      <c r="I397" s="109"/>
    </row>
    <row r="398" spans="9:9">
      <c r="I398" s="109"/>
    </row>
  </sheetData>
  <mergeCells count="8">
    <mergeCell ref="D112:F112"/>
    <mergeCell ref="D141:F141"/>
    <mergeCell ref="P309:S309"/>
    <mergeCell ref="C2:E2"/>
    <mergeCell ref="D31:F31"/>
    <mergeCell ref="D32:G32"/>
    <mergeCell ref="D82:F82"/>
    <mergeCell ref="D83:G83"/>
  </mergeCells>
  <pageMargins left="0.59055118110236227" right="0.23622047244094491" top="0.74803149606299213" bottom="0.74803149606299213" header="0.31496062992125984" footer="0.31496062992125984"/>
  <pageSetup paperSize="5" scale="65" fitToHeight="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>
    <tabColor theme="9"/>
  </sheetPr>
  <dimension ref="A1:Y236"/>
  <sheetViews>
    <sheetView zoomScale="80" zoomScaleNormal="80" workbookViewId="0">
      <pane ySplit="6" topLeftCell="A127" activePane="bottomLeft" state="frozen"/>
      <selection pane="bottomLeft" activeCell="I112" sqref="I112"/>
    </sheetView>
  </sheetViews>
  <sheetFormatPr baseColWidth="10" defaultColWidth="11.42578125" defaultRowHeight="15"/>
  <cols>
    <col min="1" max="1" width="8" style="18" customWidth="1"/>
    <col min="2" max="2" width="18.28515625" customWidth="1"/>
    <col min="3" max="3" width="5.85546875" style="29" customWidth="1"/>
    <col min="4" max="4" width="37.42578125" customWidth="1"/>
    <col min="5" max="5" width="43" customWidth="1"/>
    <col min="6" max="6" width="15.85546875" customWidth="1"/>
    <col min="7" max="7" width="13.28515625" customWidth="1"/>
    <col min="8" max="8" width="13.7109375" style="84" customWidth="1"/>
    <col min="9" max="9" width="13.5703125" style="85" customWidth="1"/>
    <col min="10" max="10" width="13.7109375" style="84" customWidth="1"/>
    <col min="11" max="11" width="15.42578125" style="20" customWidth="1"/>
    <col min="12" max="12" width="16.5703125" customWidth="1"/>
    <col min="13" max="13" width="38.85546875" customWidth="1"/>
    <col min="14" max="14" width="30.42578125" customWidth="1"/>
    <col min="15" max="15" width="20.85546875" customWidth="1"/>
    <col min="16" max="16" width="24.140625" customWidth="1"/>
    <col min="17" max="17" width="13.28515625" customWidth="1"/>
    <col min="18" max="19" width="11.42578125" customWidth="1"/>
    <col min="20" max="20" width="10.28515625" customWidth="1"/>
    <col min="21" max="24" width="11.42578125" customWidth="1"/>
  </cols>
  <sheetData>
    <row r="1" spans="1:25">
      <c r="B1" s="32"/>
      <c r="D1" s="32"/>
      <c r="E1" s="32"/>
      <c r="F1" s="32"/>
      <c r="G1" s="32"/>
      <c r="H1" s="86"/>
      <c r="I1" s="110"/>
      <c r="J1" s="86"/>
      <c r="K1" s="111"/>
      <c r="L1" s="32"/>
      <c r="M1" s="32"/>
      <c r="N1" s="32"/>
      <c r="O1" s="32"/>
    </row>
    <row r="2" spans="1:25" ht="24.75" customHeight="1">
      <c r="B2" s="32" t="s">
        <v>536</v>
      </c>
      <c r="D2" s="87" t="s">
        <v>1</v>
      </c>
      <c r="E2" s="88"/>
      <c r="Y2" s="42"/>
    </row>
    <row r="3" spans="1:25" ht="23.25" customHeight="1">
      <c r="B3" s="32"/>
      <c r="D3" s="89" t="s">
        <v>530</v>
      </c>
      <c r="E3" s="89"/>
    </row>
    <row r="4" spans="1:25" ht="21">
      <c r="B4" s="32"/>
      <c r="D4" s="90" t="s">
        <v>3</v>
      </c>
      <c r="E4" s="11"/>
      <c r="L4" s="80"/>
    </row>
    <row r="5" spans="1:25" ht="21">
      <c r="B5" s="32"/>
      <c r="D5" s="91" t="s">
        <v>340</v>
      </c>
      <c r="E5" s="11"/>
      <c r="K5" s="308" t="s">
        <v>527</v>
      </c>
      <c r="L5" s="308"/>
    </row>
    <row r="6" spans="1:25" ht="42" customHeight="1">
      <c r="B6" s="32"/>
      <c r="E6" s="92" t="s">
        <v>7</v>
      </c>
      <c r="F6" s="92" t="s">
        <v>9</v>
      </c>
      <c r="G6" s="92" t="s">
        <v>14</v>
      </c>
      <c r="H6" s="93" t="s">
        <v>13</v>
      </c>
      <c r="I6" s="229" t="s">
        <v>341</v>
      </c>
      <c r="J6" s="93" t="s">
        <v>15</v>
      </c>
      <c r="K6" s="93" t="s">
        <v>341</v>
      </c>
      <c r="L6" s="92" t="s">
        <v>18</v>
      </c>
    </row>
    <row r="7" spans="1:25">
      <c r="B7" s="32"/>
      <c r="D7" s="29" t="s">
        <v>19</v>
      </c>
      <c r="E7" s="94"/>
      <c r="F7" s="94"/>
      <c r="G7" s="94"/>
      <c r="H7" s="95"/>
      <c r="I7" s="95"/>
      <c r="J7" s="95"/>
      <c r="K7" s="95"/>
      <c r="L7" s="94"/>
    </row>
    <row r="8" spans="1:25" ht="36" customHeight="1">
      <c r="A8" s="29" t="s">
        <v>251</v>
      </c>
      <c r="B8" s="32" t="s">
        <v>342</v>
      </c>
      <c r="C8" s="29">
        <v>1</v>
      </c>
      <c r="D8" t="s">
        <v>519</v>
      </c>
      <c r="E8" t="s">
        <v>351</v>
      </c>
      <c r="F8" s="96">
        <v>31500</v>
      </c>
      <c r="G8" s="97">
        <f>(F8-(LOOKUP(F8,ISR!$A$6:$B$17,ISR!$A$6:$A$17)))*(LOOKUP(F8,ISR!$A$6:$B$17,ISR!$D$6:$D$17))+(LOOKUP(F8,ISR!$A$6:$B$17,ISR!$C$6:$C$17))</f>
        <v>6719.9519999999993</v>
      </c>
      <c r="H8" s="85">
        <v>0</v>
      </c>
      <c r="I8" s="85">
        <v>0</v>
      </c>
      <c r="J8" s="85">
        <v>0</v>
      </c>
      <c r="K8" s="97">
        <v>0</v>
      </c>
      <c r="L8" s="112">
        <f>F8-G8-I8-J8-K8+H8</f>
        <v>24780.048000000003</v>
      </c>
      <c r="M8" s="113"/>
      <c r="N8" s="113"/>
      <c r="O8" s="113"/>
    </row>
    <row r="9" spans="1:25" ht="49.5" customHeight="1">
      <c r="B9" s="32" t="s">
        <v>343</v>
      </c>
      <c r="C9" s="29">
        <v>2</v>
      </c>
      <c r="D9" s="98" t="s">
        <v>160</v>
      </c>
      <c r="E9" t="s">
        <v>344</v>
      </c>
      <c r="F9" s="96">
        <v>8675.1</v>
      </c>
      <c r="G9" s="97">
        <f>(F9-(LOOKUP(F9,ISR!$A$6:$B$17,ISR!$A$6:$A$17)))*(LOOKUP(F9,ISR!$A$6:$B$17,ISR!$D$6:$D$17))+(LOOKUP(F9,ISR!$A$6:$B$17,ISR!$C$6:$C$17))</f>
        <v>1029.9393840000002</v>
      </c>
      <c r="H9" s="85">
        <v>0</v>
      </c>
      <c r="J9" s="85">
        <v>0</v>
      </c>
      <c r="K9" s="97">
        <v>0</v>
      </c>
      <c r="L9" s="112">
        <f>F9-G9-I9-J9-K9+H9</f>
        <v>7645.1606160000001</v>
      </c>
      <c r="M9" s="113"/>
      <c r="N9" s="54"/>
      <c r="O9" s="113"/>
      <c r="Q9" s="39"/>
    </row>
    <row r="10" spans="1:25" ht="49.5" customHeight="1">
      <c r="B10" s="32" t="s">
        <v>343</v>
      </c>
      <c r="C10" s="29">
        <v>3</v>
      </c>
      <c r="D10" t="s">
        <v>345</v>
      </c>
      <c r="E10" t="s">
        <v>346</v>
      </c>
      <c r="F10" s="99">
        <v>5998.2929999999997</v>
      </c>
      <c r="G10" s="100">
        <f>(F10-(LOOKUP(F10,ISR!$A$6:$B$17,ISR!$A$6:$A$17)))*(LOOKUP(F10,ISR!$A$6:$B$17,ISR!$D$6:$D$17))+(LOOKUP(F10,ISR!$A$6:$B$17,ISR!$C$6:$C$17))</f>
        <v>522.2052799999999</v>
      </c>
      <c r="H10" s="101">
        <v>0</v>
      </c>
      <c r="I10" s="103">
        <v>0</v>
      </c>
      <c r="J10" s="101">
        <v>0</v>
      </c>
      <c r="K10" s="100">
        <v>0</v>
      </c>
      <c r="L10" s="114">
        <f>F10-G10-I10-J10-K10+H10</f>
        <v>5476.0877199999995</v>
      </c>
      <c r="M10" s="115"/>
      <c r="N10" s="115"/>
      <c r="O10" s="115"/>
    </row>
    <row r="11" spans="1:25" ht="30" customHeight="1">
      <c r="B11" s="32"/>
      <c r="E11" s="94"/>
      <c r="F11" s="102">
        <f>SUM(F8:F10)</f>
        <v>46173.392999999996</v>
      </c>
      <c r="G11" s="102">
        <f>SUM(G8:G10)</f>
        <v>8272.0966639999988</v>
      </c>
      <c r="H11" s="84">
        <f>SUM(H8:H10)</f>
        <v>0</v>
      </c>
      <c r="I11" s="85">
        <f>SUM(I8:I10)</f>
        <v>0</v>
      </c>
      <c r="J11" s="84">
        <v>0</v>
      </c>
      <c r="K11" s="20">
        <v>0</v>
      </c>
      <c r="L11" s="102">
        <f>SUM(L8:L10)</f>
        <v>37901.296335999999</v>
      </c>
      <c r="M11" s="116"/>
      <c r="N11" s="117"/>
      <c r="O11" s="117"/>
    </row>
    <row r="12" spans="1:25" ht="19.5" customHeight="1">
      <c r="B12" s="32"/>
      <c r="D12" s="29" t="s">
        <v>347</v>
      </c>
      <c r="E12" s="94"/>
      <c r="F12" s="94"/>
      <c r="G12" s="94"/>
      <c r="H12" s="95"/>
      <c r="I12" s="95"/>
      <c r="J12" s="95"/>
      <c r="K12" s="95"/>
      <c r="L12" s="112"/>
      <c r="M12" s="18"/>
      <c r="N12" s="18"/>
      <c r="O12" s="18"/>
    </row>
    <row r="13" spans="1:25" ht="30" customHeight="1">
      <c r="B13" s="32" t="s">
        <v>342</v>
      </c>
      <c r="C13" s="29">
        <v>4</v>
      </c>
      <c r="D13" t="s">
        <v>348</v>
      </c>
      <c r="E13" t="s">
        <v>349</v>
      </c>
      <c r="F13" s="97">
        <v>15120</v>
      </c>
      <c r="G13" s="20">
        <f>(F13-(LOOKUP(F13,ISR!$A$6:$B$17,ISR!$A$6:$A$17)))*(LOOKUP(F13,ISR!$A$6:$B$17,ISR!$D$6:$D$17))+(LOOKUP(F13,ISR!$A$6:$B$17,ISR!$C$6:$C$17))</f>
        <v>2406.5700240000001</v>
      </c>
      <c r="H13" s="84">
        <v>0</v>
      </c>
      <c r="I13" s="85">
        <v>0</v>
      </c>
      <c r="J13" s="84">
        <v>0</v>
      </c>
      <c r="K13" s="97">
        <v>0</v>
      </c>
      <c r="L13" s="112">
        <f>F13-G13-I13-J13-K13+H13</f>
        <v>12713.429975999999</v>
      </c>
      <c r="M13" s="113"/>
      <c r="N13" s="113"/>
      <c r="O13" s="113"/>
    </row>
    <row r="14" spans="1:25" ht="48.75" customHeight="1">
      <c r="B14" s="32" t="s">
        <v>342</v>
      </c>
      <c r="C14" s="29">
        <v>5</v>
      </c>
      <c r="D14" t="s">
        <v>348</v>
      </c>
      <c r="E14" t="s">
        <v>350</v>
      </c>
      <c r="F14" s="97">
        <v>15120</v>
      </c>
      <c r="G14" s="20">
        <f>(F14-(LOOKUP(F14,ISR!$A$6:$B$17,ISR!$A$6:$A$17)))*(LOOKUP(F14,ISR!$A$6:$B$17,ISR!$D$6:$D$17))+(LOOKUP(F14,ISR!$A$6:$B$17,ISR!$C$6:$C$17))</f>
        <v>2406.5700240000001</v>
      </c>
      <c r="H14" s="84">
        <v>0</v>
      </c>
      <c r="I14" s="85">
        <v>0</v>
      </c>
      <c r="J14" s="84">
        <v>0</v>
      </c>
      <c r="K14" s="97">
        <v>0</v>
      </c>
      <c r="L14" s="112">
        <f>F14-G14-I14-J14-K14+H14</f>
        <v>12713.429975999999</v>
      </c>
      <c r="M14" s="115"/>
      <c r="N14" s="115"/>
      <c r="O14" s="115"/>
    </row>
    <row r="15" spans="1:25" ht="56.25" customHeight="1">
      <c r="B15" s="32" t="s">
        <v>342</v>
      </c>
      <c r="C15" s="29">
        <v>6</v>
      </c>
      <c r="D15" t="s">
        <v>348</v>
      </c>
      <c r="E15" t="s">
        <v>520</v>
      </c>
      <c r="F15" s="97">
        <v>15120</v>
      </c>
      <c r="G15" s="20">
        <f>(F15-(LOOKUP(F15,ISR!$A$6:$B$17,ISR!$A$6:$A$17)))*(LOOKUP(F15,ISR!$A$6:$B$17,ISR!$D$6:$D$17))+(LOOKUP(F15,ISR!$A$6:$B$17,ISR!$C$6:$C$17))</f>
        <v>2406.5700240000001</v>
      </c>
      <c r="H15" s="84">
        <v>0</v>
      </c>
      <c r="I15" s="85">
        <v>0</v>
      </c>
      <c r="J15" s="84">
        <v>0</v>
      </c>
      <c r="K15" s="97">
        <v>0</v>
      </c>
      <c r="L15" s="112">
        <f t="shared" ref="L15:L21" si="0">F15-G15-I15-J15-K15+H15</f>
        <v>12713.429975999999</v>
      </c>
      <c r="M15" s="115"/>
      <c r="N15" s="115"/>
      <c r="O15" s="115"/>
    </row>
    <row r="16" spans="1:25" ht="54" customHeight="1">
      <c r="B16" s="32" t="s">
        <v>342</v>
      </c>
      <c r="C16" s="29">
        <v>7</v>
      </c>
      <c r="D16" t="s">
        <v>348</v>
      </c>
      <c r="E16" t="s">
        <v>352</v>
      </c>
      <c r="F16" s="97">
        <v>15120</v>
      </c>
      <c r="G16" s="20">
        <f>(F16-(LOOKUP(F16,ISR!$A$6:$B$17,ISR!$A$6:$A$17)))*(LOOKUP(F16,ISR!$A$6:$B$17,ISR!$D$6:$D$17))+(LOOKUP(F16,ISR!$A$6:$B$17,ISR!$C$6:$C$17))</f>
        <v>2406.5700240000001</v>
      </c>
      <c r="H16" s="84">
        <v>0</v>
      </c>
      <c r="I16" s="85">
        <v>0</v>
      </c>
      <c r="J16" s="84">
        <v>0</v>
      </c>
      <c r="K16" s="97">
        <v>0</v>
      </c>
      <c r="L16" s="112">
        <f t="shared" si="0"/>
        <v>12713.429975999999</v>
      </c>
      <c r="M16" s="115"/>
      <c r="N16" s="115"/>
      <c r="O16" s="115"/>
    </row>
    <row r="17" spans="1:15" ht="56.25" customHeight="1">
      <c r="A17" s="29" t="s">
        <v>20</v>
      </c>
      <c r="B17" s="32" t="s">
        <v>342</v>
      </c>
      <c r="C17" s="29">
        <v>8</v>
      </c>
      <c r="D17" t="s">
        <v>348</v>
      </c>
      <c r="E17" t="s">
        <v>353</v>
      </c>
      <c r="F17" s="97">
        <v>15120</v>
      </c>
      <c r="G17" s="20">
        <f>(F17-(LOOKUP(F17,ISR!$A$6:$B$17,ISR!$A$6:$A$17)))*(LOOKUP(F17,ISR!$A$6:$B$17,ISR!$D$6:$D$17))+(LOOKUP(F17,ISR!$A$6:$B$17,ISR!$C$6:$C$17))</f>
        <v>2406.5700240000001</v>
      </c>
      <c r="H17" s="84">
        <v>0</v>
      </c>
      <c r="I17" s="85">
        <v>0</v>
      </c>
      <c r="J17" s="84">
        <v>0</v>
      </c>
      <c r="K17" s="97">
        <v>0</v>
      </c>
      <c r="L17" s="112">
        <f t="shared" si="0"/>
        <v>12713.429975999999</v>
      </c>
      <c r="M17" s="115"/>
      <c r="N17" s="115"/>
      <c r="O17" s="115"/>
    </row>
    <row r="18" spans="1:15" ht="54" customHeight="1">
      <c r="B18" s="32" t="s">
        <v>342</v>
      </c>
      <c r="C18" s="29">
        <v>9</v>
      </c>
      <c r="D18" t="s">
        <v>348</v>
      </c>
      <c r="E18" t="s">
        <v>354</v>
      </c>
      <c r="F18" s="97">
        <v>15120</v>
      </c>
      <c r="G18" s="20">
        <f>(F18-(LOOKUP(F18,ISR!$A$6:$B$17,ISR!$A$6:$A$17)))*(LOOKUP(F18,ISR!$A$6:$B$17,ISR!$D$6:$D$17))+(LOOKUP(F18,ISR!$A$6:$B$17,ISR!$C$6:$C$17))</f>
        <v>2406.5700240000001</v>
      </c>
      <c r="H18" s="84">
        <v>0</v>
      </c>
      <c r="I18" s="85">
        <v>0</v>
      </c>
      <c r="J18" s="84">
        <v>0</v>
      </c>
      <c r="K18" s="97">
        <v>0</v>
      </c>
      <c r="L18" s="112">
        <f t="shared" si="0"/>
        <v>12713.429975999999</v>
      </c>
      <c r="M18" s="115"/>
      <c r="N18" s="115"/>
      <c r="O18" s="115"/>
    </row>
    <row r="19" spans="1:15" ht="60" customHeight="1">
      <c r="B19" s="32" t="s">
        <v>342</v>
      </c>
      <c r="C19" s="29">
        <v>10</v>
      </c>
      <c r="D19" t="s">
        <v>348</v>
      </c>
      <c r="E19" t="s">
        <v>355</v>
      </c>
      <c r="F19" s="97">
        <v>15120</v>
      </c>
      <c r="G19" s="20">
        <f>(F19-(LOOKUP(F19,ISR!$A$6:$B$17,ISR!$A$6:$A$17)))*(LOOKUP(F19,ISR!$A$6:$B$17,ISR!$D$6:$D$17))+(LOOKUP(F19,ISR!$A$6:$B$17,ISR!$C$6:$C$17))</f>
        <v>2406.5700240000001</v>
      </c>
      <c r="H19" s="84">
        <v>0</v>
      </c>
      <c r="I19" s="85">
        <v>0</v>
      </c>
      <c r="J19" s="84">
        <v>0</v>
      </c>
      <c r="K19" s="97">
        <v>0</v>
      </c>
      <c r="L19" s="112">
        <f t="shared" si="0"/>
        <v>12713.429975999999</v>
      </c>
      <c r="M19" s="115"/>
      <c r="N19" s="115"/>
      <c r="O19" s="115"/>
    </row>
    <row r="20" spans="1:15" ht="54" customHeight="1">
      <c r="A20" s="29" t="s">
        <v>20</v>
      </c>
      <c r="B20" s="32" t="s">
        <v>342</v>
      </c>
      <c r="C20" s="29">
        <v>11</v>
      </c>
      <c r="D20" t="s">
        <v>348</v>
      </c>
      <c r="E20" t="s">
        <v>356</v>
      </c>
      <c r="F20" s="97">
        <v>15120</v>
      </c>
      <c r="G20" s="20">
        <f>(F20-(LOOKUP(F20,ISR!$A$6:$B$17,ISR!$A$6:$A$17)))*(LOOKUP(F20,ISR!$A$6:$B$17,ISR!$D$6:$D$17))+(LOOKUP(F20,ISR!$A$6:$B$17,ISR!$C$6:$C$17))</f>
        <v>2406.5700240000001</v>
      </c>
      <c r="H20" s="84">
        <v>0</v>
      </c>
      <c r="I20" s="85">
        <v>0</v>
      </c>
      <c r="J20" s="84">
        <v>0</v>
      </c>
      <c r="K20" s="97">
        <v>0</v>
      </c>
      <c r="L20" s="112">
        <f t="shared" si="0"/>
        <v>12713.429975999999</v>
      </c>
      <c r="M20" s="115"/>
      <c r="N20" s="115"/>
      <c r="O20" s="115"/>
    </row>
    <row r="21" spans="1:15" ht="48" customHeight="1">
      <c r="B21" s="32" t="s">
        <v>342</v>
      </c>
      <c r="C21" s="29">
        <v>12</v>
      </c>
      <c r="D21" t="s">
        <v>348</v>
      </c>
      <c r="E21" t="s">
        <v>357</v>
      </c>
      <c r="F21" s="99">
        <v>15120</v>
      </c>
      <c r="G21" s="99">
        <f>(F21-(LOOKUP(F21,ISR!$A$6:$B$17,ISR!$A$6:$A$17)))*(LOOKUP(F21,ISR!$A$6:$B$17,ISR!$D$6:$D$17))+(LOOKUP(F21,ISR!$A$6:$B$17,ISR!$C$6:$C$17))</f>
        <v>2406.5700240000001</v>
      </c>
      <c r="H21" s="101">
        <v>0</v>
      </c>
      <c r="I21" s="103">
        <v>0</v>
      </c>
      <c r="J21" s="101">
        <v>0</v>
      </c>
      <c r="K21" s="99">
        <v>0</v>
      </c>
      <c r="L21" s="99">
        <f t="shared" si="0"/>
        <v>12713.429975999999</v>
      </c>
      <c r="M21" s="115"/>
      <c r="N21" s="115"/>
      <c r="O21" s="115"/>
    </row>
    <row r="22" spans="1:15" ht="30" customHeight="1">
      <c r="B22" s="32"/>
      <c r="F22" s="84">
        <f>SUM(F13:F21)</f>
        <v>136080</v>
      </c>
      <c r="G22" s="84">
        <f>SUM(G13:G21)</f>
        <v>21659.130216000001</v>
      </c>
      <c r="H22" s="84">
        <f>SUM(H13:H21)</f>
        <v>0</v>
      </c>
      <c r="I22" s="85">
        <f>SUM(I13:I21)</f>
        <v>0</v>
      </c>
      <c r="K22" s="84">
        <f>SUM(K13:K21)</f>
        <v>0</v>
      </c>
      <c r="L22" s="84">
        <f>SUM(L13:L21)</f>
        <v>114420.86978399999</v>
      </c>
      <c r="M22" s="118"/>
      <c r="N22" s="117"/>
      <c r="O22" s="117"/>
    </row>
    <row r="23" spans="1:15" ht="30" customHeight="1">
      <c r="B23" s="32"/>
      <c r="D23" s="87" t="s">
        <v>1</v>
      </c>
      <c r="E23" s="88"/>
      <c r="F23" s="85"/>
      <c r="G23" s="84"/>
      <c r="K23" s="84"/>
      <c r="L23" s="84"/>
      <c r="M23" s="18"/>
      <c r="N23" s="18"/>
      <c r="O23" s="18"/>
    </row>
    <row r="24" spans="1:15" ht="30" customHeight="1">
      <c r="B24" s="32"/>
      <c r="D24" s="89" t="s">
        <v>530</v>
      </c>
      <c r="E24" s="89"/>
      <c r="F24" s="85"/>
      <c r="G24" s="84"/>
      <c r="K24" s="308" t="s">
        <v>527</v>
      </c>
      <c r="L24" s="308"/>
      <c r="M24" s="18"/>
      <c r="N24" s="18"/>
      <c r="O24" s="18"/>
    </row>
    <row r="25" spans="1:15" ht="30" customHeight="1">
      <c r="B25" s="32"/>
      <c r="E25" s="92" t="s">
        <v>7</v>
      </c>
      <c r="F25" s="92" t="s">
        <v>9</v>
      </c>
      <c r="G25" s="92" t="s">
        <v>14</v>
      </c>
      <c r="H25" s="93" t="s">
        <v>13</v>
      </c>
      <c r="I25" s="229" t="s">
        <v>341</v>
      </c>
      <c r="J25" s="93" t="s">
        <v>15</v>
      </c>
      <c r="K25" s="93" t="s">
        <v>341</v>
      </c>
      <c r="L25" s="92" t="s">
        <v>18</v>
      </c>
      <c r="M25" s="18"/>
      <c r="N25" s="18"/>
      <c r="O25" s="18"/>
    </row>
    <row r="26" spans="1:15" ht="18" customHeight="1">
      <c r="B26" s="32"/>
      <c r="D26" s="29" t="s">
        <v>358</v>
      </c>
      <c r="F26" s="97"/>
      <c r="G26" s="20"/>
      <c r="L26" s="112"/>
    </row>
    <row r="27" spans="1:15" ht="37.5" customHeight="1">
      <c r="B27" s="32" t="s">
        <v>342</v>
      </c>
      <c r="C27" s="29">
        <v>13</v>
      </c>
      <c r="D27" t="s">
        <v>359</v>
      </c>
      <c r="E27" t="s">
        <v>360</v>
      </c>
      <c r="F27" s="97">
        <v>22050</v>
      </c>
      <c r="G27" s="20">
        <f>(F27-(LOOKUP(F27,ISR!$A$6:$B$17,ISR!$A$6:$A$17)))*(LOOKUP(F27,ISR!$A$6:$B$17,ISR!$D$6:$D$17))+(LOOKUP(F27,ISR!$A$6:$B$17,ISR!$C$6:$C$17))</f>
        <v>4030.2170880000003</v>
      </c>
      <c r="H27" s="84">
        <v>0</v>
      </c>
      <c r="I27" s="85">
        <v>0</v>
      </c>
      <c r="J27" s="84">
        <v>0</v>
      </c>
      <c r="K27" s="20">
        <v>0</v>
      </c>
      <c r="L27" s="112">
        <f>F27-G27-I27-J27-K27+H27</f>
        <v>18019.782911999999</v>
      </c>
      <c r="M27" s="113"/>
      <c r="N27" s="113"/>
      <c r="O27" s="113"/>
    </row>
    <row r="28" spans="1:15" ht="37.5" customHeight="1">
      <c r="B28" s="32" t="s">
        <v>343</v>
      </c>
      <c r="C28" s="29">
        <v>14</v>
      </c>
      <c r="D28" t="s">
        <v>361</v>
      </c>
      <c r="E28" t="s">
        <v>362</v>
      </c>
      <c r="F28" s="99">
        <v>3966.732</v>
      </c>
      <c r="G28" s="100">
        <f>(F28-(LOOKUP(F28,ISR!$A$6:$B$17,ISR!$A$6:$A$17)))*(LOOKUP(F28,ISR!$A$6:$B$17,ISR!$D$6:$D$17))+(LOOKUP(F28,ISR!$A$6:$B$17,ISR!$C$6:$C$17))</f>
        <v>275.10007359999997</v>
      </c>
      <c r="H28" s="101">
        <v>1000</v>
      </c>
      <c r="I28" s="103">
        <v>0</v>
      </c>
      <c r="J28" s="101"/>
      <c r="K28" s="100">
        <v>0</v>
      </c>
      <c r="L28" s="114">
        <f>F28-G28+H28-I28-J28-K28</f>
        <v>4691.6319263999994</v>
      </c>
      <c r="M28" s="119"/>
      <c r="N28" s="119"/>
      <c r="O28" s="119"/>
    </row>
    <row r="29" spans="1:15" ht="37.5" customHeight="1">
      <c r="B29" s="32"/>
      <c r="F29" s="85">
        <f t="shared" ref="F29:L29" si="1">F27+F28</f>
        <v>26016.732</v>
      </c>
      <c r="G29" s="85">
        <f t="shared" si="1"/>
        <v>4305.3171616</v>
      </c>
      <c r="H29" s="85">
        <f t="shared" si="1"/>
        <v>1000</v>
      </c>
      <c r="I29" s="85">
        <f t="shared" si="1"/>
        <v>0</v>
      </c>
      <c r="J29" s="85">
        <f t="shared" si="1"/>
        <v>0</v>
      </c>
      <c r="K29" s="85">
        <f t="shared" si="1"/>
        <v>0</v>
      </c>
      <c r="L29" s="120">
        <f t="shared" si="1"/>
        <v>22711.4148384</v>
      </c>
      <c r="M29" s="18"/>
      <c r="N29" s="18"/>
      <c r="O29" s="18"/>
    </row>
    <row r="30" spans="1:15" ht="19.5" customHeight="1">
      <c r="B30" s="32"/>
      <c r="D30" s="29" t="s">
        <v>166</v>
      </c>
      <c r="F30" s="97"/>
      <c r="G30" s="20"/>
      <c r="L30" s="112"/>
      <c r="M30" s="18"/>
      <c r="N30" s="18"/>
      <c r="O30" s="18"/>
    </row>
    <row r="31" spans="1:15" ht="37.5" customHeight="1">
      <c r="A31" s="29" t="s">
        <v>363</v>
      </c>
      <c r="B31" s="32" t="s">
        <v>342</v>
      </c>
      <c r="C31" s="29">
        <v>15</v>
      </c>
      <c r="D31" s="98" t="s">
        <v>364</v>
      </c>
      <c r="E31" s="98" t="s">
        <v>365</v>
      </c>
      <c r="F31" s="99">
        <f>17485.713</f>
        <v>17485.713</v>
      </c>
      <c r="G31" s="100">
        <f>(F31-(LOOKUP(F31,ISR!$A$6:$B$17,ISR!$A$6:$A$17)))*(LOOKUP(F31,ISR!$A$6:$B$17,ISR!$D$6:$D$17))+(LOOKUP(F31,ISR!$A$6:$B$17,ISR!$C$6:$C$17))</f>
        <v>2956.6967856000001</v>
      </c>
      <c r="H31" s="101">
        <v>0</v>
      </c>
      <c r="I31" s="103"/>
      <c r="J31" s="101"/>
      <c r="K31" s="100">
        <v>0</v>
      </c>
      <c r="L31" s="114">
        <f>F31-G31+H31-I31-J31-K31</f>
        <v>14529.016214399999</v>
      </c>
      <c r="M31" s="113"/>
      <c r="N31" s="113"/>
      <c r="O31" s="113"/>
    </row>
    <row r="32" spans="1:15" ht="37.5" customHeight="1">
      <c r="B32" s="32"/>
      <c r="F32" s="85">
        <f t="shared" ref="F32:L32" si="2">+F31</f>
        <v>17485.713</v>
      </c>
      <c r="G32" s="84">
        <f t="shared" si="2"/>
        <v>2956.6967856000001</v>
      </c>
      <c r="H32" s="84">
        <v>0</v>
      </c>
      <c r="I32" s="85">
        <f t="shared" si="2"/>
        <v>0</v>
      </c>
      <c r="J32" s="84">
        <f t="shared" si="2"/>
        <v>0</v>
      </c>
      <c r="K32" s="84">
        <f t="shared" si="2"/>
        <v>0</v>
      </c>
      <c r="L32" s="120">
        <f t="shared" si="2"/>
        <v>14529.016214399999</v>
      </c>
      <c r="M32" s="18"/>
      <c r="N32" s="18"/>
      <c r="O32" s="18"/>
    </row>
    <row r="33" spans="1:16" ht="21.75" customHeight="1">
      <c r="D33" s="29" t="s">
        <v>366</v>
      </c>
      <c r="H33" s="85"/>
    </row>
    <row r="34" spans="1:16" ht="34.5" customHeight="1">
      <c r="A34" s="29">
        <v>1036</v>
      </c>
      <c r="B34" s="32" t="s">
        <v>343</v>
      </c>
      <c r="C34" s="29">
        <v>16</v>
      </c>
      <c r="D34" t="s">
        <v>367</v>
      </c>
      <c r="E34" t="s">
        <v>368</v>
      </c>
      <c r="F34" s="99">
        <v>5769.22</v>
      </c>
      <c r="G34" s="100">
        <f>(F34-(LOOKUP(F34,ISR!$A$6:$B$17,ISR!$A$6:$A$17)))*(LOOKUP(F34,ISR!$A$6:$B$17,ISR!$D$6:$D$17))+(LOOKUP(F34,ISR!$A$6:$B$17,ISR!$C$6:$C$17))</f>
        <v>485.55360000000002</v>
      </c>
      <c r="H34" s="99">
        <v>1859.87</v>
      </c>
      <c r="I34" s="103">
        <v>0</v>
      </c>
      <c r="J34" s="101">
        <v>0</v>
      </c>
      <c r="K34" s="100">
        <v>0</v>
      </c>
      <c r="L34" s="99">
        <f>F34-G34-I34-J34-K34+H34</f>
        <v>7143.5364</v>
      </c>
      <c r="M34" s="113"/>
      <c r="N34" s="54">
        <f>+L34-M34</f>
        <v>7143.5364</v>
      </c>
      <c r="O34" s="113"/>
    </row>
    <row r="35" spans="1:16" ht="30" customHeight="1">
      <c r="B35" s="32"/>
      <c r="F35" s="85">
        <f t="shared" ref="F35:L35" si="3">+F34</f>
        <v>5769.22</v>
      </c>
      <c r="G35" s="84">
        <f t="shared" si="3"/>
        <v>485.55360000000002</v>
      </c>
      <c r="H35" s="84">
        <f t="shared" si="3"/>
        <v>1859.87</v>
      </c>
      <c r="I35" s="85">
        <f t="shared" si="3"/>
        <v>0</v>
      </c>
      <c r="J35" s="84">
        <f t="shared" si="3"/>
        <v>0</v>
      </c>
      <c r="K35" s="84">
        <f t="shared" si="3"/>
        <v>0</v>
      </c>
      <c r="L35" s="85">
        <f t="shared" si="3"/>
        <v>7143.5364</v>
      </c>
      <c r="M35" s="118"/>
      <c r="N35" s="117"/>
      <c r="O35" s="117"/>
    </row>
    <row r="36" spans="1:16" ht="15" customHeight="1">
      <c r="B36" s="32"/>
      <c r="D36" s="29" t="s">
        <v>369</v>
      </c>
      <c r="F36" s="97"/>
      <c r="G36" s="20"/>
      <c r="L36" s="97"/>
    </row>
    <row r="37" spans="1:16" ht="31.5" customHeight="1">
      <c r="A37" s="29"/>
      <c r="B37" s="32" t="s">
        <v>343</v>
      </c>
      <c r="C37" s="29">
        <v>17</v>
      </c>
      <c r="D37" t="s">
        <v>370</v>
      </c>
      <c r="E37" t="s">
        <v>371</v>
      </c>
      <c r="F37" s="99">
        <v>9747.2970000000005</v>
      </c>
      <c r="G37" s="99">
        <f>(F37-(LOOKUP(F37,ISR!$A$6:$B$17,ISR!$A$6:$A$17)))*(LOOKUP(F37,ISR!$A$6:$B$17,ISR!$D$6:$D$17))+(LOOKUP(F37,ISR!$A$6:$B$17,ISR!$C$6:$C$17))</f>
        <v>1258.9606632000002</v>
      </c>
      <c r="H37" s="103">
        <v>0</v>
      </c>
      <c r="I37" s="103">
        <v>1000</v>
      </c>
      <c r="J37" s="103">
        <v>0</v>
      </c>
      <c r="K37" s="99">
        <v>0</v>
      </c>
      <c r="L37" s="99">
        <f>F37-G37-I37-J37-K37+H37</f>
        <v>7488.3363368000009</v>
      </c>
      <c r="M37" s="113"/>
      <c r="N37" s="113"/>
      <c r="O37" s="113"/>
    </row>
    <row r="38" spans="1:16" ht="22.5" customHeight="1">
      <c r="B38" s="32"/>
      <c r="D38" s="29"/>
      <c r="F38" s="85">
        <f t="shared" ref="F38:L38" si="4">SUM(F37)</f>
        <v>9747.2970000000005</v>
      </c>
      <c r="G38" s="84">
        <f t="shared" si="4"/>
        <v>1258.9606632000002</v>
      </c>
      <c r="H38" s="84">
        <f t="shared" si="4"/>
        <v>0</v>
      </c>
      <c r="I38" s="85">
        <f t="shared" si="4"/>
        <v>1000</v>
      </c>
      <c r="J38" s="84">
        <f t="shared" si="4"/>
        <v>0</v>
      </c>
      <c r="K38" s="84">
        <f t="shared" si="4"/>
        <v>0</v>
      </c>
      <c r="L38" s="85">
        <f t="shared" si="4"/>
        <v>7488.3363368000009</v>
      </c>
    </row>
    <row r="39" spans="1:16" ht="30" customHeight="1">
      <c r="B39" s="32"/>
      <c r="D39" s="29" t="s">
        <v>246</v>
      </c>
      <c r="F39" s="97"/>
      <c r="G39" s="20"/>
      <c r="L39" s="97"/>
    </row>
    <row r="40" spans="1:16" ht="30" customHeight="1">
      <c r="B40" s="32" t="s">
        <v>343</v>
      </c>
      <c r="C40" s="29">
        <v>18</v>
      </c>
      <c r="D40" t="s">
        <v>109</v>
      </c>
      <c r="E40" t="s">
        <v>372</v>
      </c>
      <c r="F40" s="97">
        <v>19364.751</v>
      </c>
      <c r="G40" s="20">
        <f>(F40-(LOOKUP(F40,ISR!$A$6:$B$17,ISR!$A$6:$A$17)))*(LOOKUP(F40,ISR!$A$6:$B$17,ISR!$D$6:$D$17))+(LOOKUP(F40,ISR!$A$6:$B$17,ISR!$C$6:$C$17))</f>
        <v>3398.6465232</v>
      </c>
      <c r="H40" s="84">
        <v>0</v>
      </c>
      <c r="I40" s="85">
        <v>0</v>
      </c>
      <c r="J40" s="84">
        <v>0</v>
      </c>
      <c r="K40" s="20">
        <v>0</v>
      </c>
      <c r="L40" s="112">
        <f>F40-G40-I40-J40-K40+H40</f>
        <v>15966.104476799999</v>
      </c>
      <c r="M40" s="113"/>
      <c r="N40" s="113"/>
      <c r="O40" s="113"/>
    </row>
    <row r="41" spans="1:16" ht="53.25" customHeight="1">
      <c r="B41" s="32" t="s">
        <v>343</v>
      </c>
      <c r="C41" s="29">
        <v>19</v>
      </c>
      <c r="D41" t="s">
        <v>373</v>
      </c>
      <c r="E41" t="s">
        <v>374</v>
      </c>
      <c r="F41" s="104">
        <v>13416.353999999999</v>
      </c>
      <c r="G41" s="105">
        <f>(F41-(LOOKUP(F41,ISR!$A$6:$B$17,ISR!$A$6:$A$17)))*(LOOKUP(F41,ISR!$A$6:$B$17,ISR!$D$6:$D$17))+(LOOKUP(F41,ISR!$A$6:$B$17,ISR!$C$6:$C$17))</f>
        <v>2042.6712384</v>
      </c>
      <c r="H41" s="106">
        <v>0</v>
      </c>
      <c r="I41" s="109">
        <v>0</v>
      </c>
      <c r="J41" s="106">
        <v>0</v>
      </c>
      <c r="K41" s="105">
        <v>0</v>
      </c>
      <c r="L41" s="112">
        <f>F41-G41-I41-J41-K41+H41</f>
        <v>11373.682761599999</v>
      </c>
      <c r="M41" s="115"/>
      <c r="N41" s="115"/>
      <c r="O41" s="115"/>
    </row>
    <row r="42" spans="1:16" ht="53.25" customHeight="1">
      <c r="B42" s="32" t="s">
        <v>343</v>
      </c>
      <c r="C42" s="29">
        <v>20</v>
      </c>
      <c r="D42" t="s">
        <v>375</v>
      </c>
      <c r="E42" t="s">
        <v>376</v>
      </c>
      <c r="F42" s="99">
        <v>4861.5</v>
      </c>
      <c r="G42" s="100">
        <f>(F42-(LOOKUP(F42,ISR!$A$6:$B$17,ISR!$A$6:$A$17)))*(LOOKUP(F42,ISR!$A$6:$B$17,ISR!$D$6:$D$17))+(LOOKUP(F42,ISR!$A$6:$B$17,ISR!$C$6:$C$17))</f>
        <v>372.45083199999999</v>
      </c>
      <c r="H42" s="101">
        <v>400</v>
      </c>
      <c r="I42" s="103"/>
      <c r="J42" s="101"/>
      <c r="K42" s="100"/>
      <c r="L42" s="114">
        <f>F42-G42+H42</f>
        <v>4889.0491679999996</v>
      </c>
      <c r="M42" s="113"/>
      <c r="N42" s="113"/>
      <c r="O42" s="113"/>
    </row>
    <row r="43" spans="1:16" ht="30" customHeight="1">
      <c r="B43" s="32"/>
      <c r="F43" s="85">
        <f>SUM(F40:F42)</f>
        <v>37642.604999999996</v>
      </c>
      <c r="G43" s="85">
        <f>SUM(G40:G42)</f>
        <v>5813.7685935999998</v>
      </c>
      <c r="H43" s="85">
        <f>SUM(H40:H42)</f>
        <v>400</v>
      </c>
      <c r="I43" s="85">
        <f t="shared" ref="I43:L43" si="5">SUM(I40:I42)</f>
        <v>0</v>
      </c>
      <c r="J43" s="85">
        <f t="shared" si="5"/>
        <v>0</v>
      </c>
      <c r="K43" s="85">
        <f t="shared" si="5"/>
        <v>0</v>
      </c>
      <c r="L43" s="85">
        <f t="shared" si="5"/>
        <v>32228.836406399998</v>
      </c>
      <c r="M43" s="50"/>
      <c r="N43" s="18"/>
      <c r="O43" s="18"/>
    </row>
    <row r="44" spans="1:16" ht="30" customHeight="1">
      <c r="B44" s="32"/>
      <c r="D44" s="29" t="s">
        <v>36</v>
      </c>
      <c r="F44" s="97"/>
      <c r="G44" s="20"/>
      <c r="L44" s="97"/>
      <c r="M44" s="39"/>
    </row>
    <row r="45" spans="1:16" ht="34.5" customHeight="1">
      <c r="B45" s="32" t="s">
        <v>343</v>
      </c>
      <c r="C45" s="29">
        <v>21</v>
      </c>
      <c r="D45" t="s">
        <v>377</v>
      </c>
      <c r="E45" t="s">
        <v>378</v>
      </c>
      <c r="F45" s="104">
        <v>11963.7</v>
      </c>
      <c r="G45" s="20">
        <f>(F45-(LOOKUP(F45,ISR!$A$6:$B$17,ISR!$A$6:$A$17)))*(LOOKUP(F45,ISR!$A$6:$B$17,ISR!$D$6:$D$17))+(LOOKUP(F45,ISR!$A$6:$B$17,ISR!$C$6:$C$17))</f>
        <v>1732.3843440000003</v>
      </c>
      <c r="H45" s="106"/>
      <c r="I45" s="109">
        <v>0</v>
      </c>
      <c r="J45" s="106">
        <v>0</v>
      </c>
      <c r="K45" s="105">
        <v>0</v>
      </c>
      <c r="L45" s="104">
        <f>F45-G45-I45-J45-K45+H45</f>
        <v>10231.315656000001</v>
      </c>
      <c r="M45" s="113"/>
      <c r="N45" s="113"/>
      <c r="O45" s="113"/>
    </row>
    <row r="46" spans="1:16" ht="47.25" customHeight="1">
      <c r="B46" s="32" t="s">
        <v>343</v>
      </c>
      <c r="C46" s="29">
        <v>22</v>
      </c>
      <c r="D46" t="s">
        <v>379</v>
      </c>
      <c r="E46" t="s">
        <v>380</v>
      </c>
      <c r="F46" s="107">
        <v>9069.732</v>
      </c>
      <c r="G46" s="100">
        <f>(F46-(LOOKUP(F46,ISR!$A$6:$B$17,ISR!$A$6:$A$17)))*(LOOKUP(F46,ISR!$A$6:$B$17,ISR!$D$6:$D$17))+(LOOKUP(F46,ISR!$A$6:$B$17,ISR!$C$6:$C$17))</f>
        <v>1114.2327792000001</v>
      </c>
      <c r="H46" s="101">
        <v>500</v>
      </c>
      <c r="I46" s="103">
        <v>0</v>
      </c>
      <c r="J46" s="101">
        <v>0</v>
      </c>
      <c r="K46" s="100">
        <v>0</v>
      </c>
      <c r="L46" s="99">
        <f>F46-G46-I46-J46-K46+H46</f>
        <v>8455.4992208000003</v>
      </c>
      <c r="M46" s="121"/>
      <c r="N46" s="121"/>
      <c r="O46" s="121"/>
    </row>
    <row r="47" spans="1:16" ht="20.25" customHeight="1">
      <c r="B47" s="32"/>
      <c r="F47" s="85">
        <f t="shared" ref="F47:L47" si="6">SUM(F45:F46)</f>
        <v>21033.432000000001</v>
      </c>
      <c r="G47" s="84">
        <f t="shared" si="6"/>
        <v>2846.6171232000006</v>
      </c>
      <c r="H47" s="84">
        <f t="shared" si="6"/>
        <v>500</v>
      </c>
      <c r="I47" s="85">
        <f t="shared" si="6"/>
        <v>0</v>
      </c>
      <c r="J47" s="84">
        <f t="shared" si="6"/>
        <v>0</v>
      </c>
      <c r="K47" s="84">
        <f t="shared" si="6"/>
        <v>0</v>
      </c>
      <c r="L47" s="85">
        <f t="shared" si="6"/>
        <v>18686.814876800003</v>
      </c>
      <c r="M47" s="118"/>
      <c r="N47" s="117"/>
      <c r="O47" s="117"/>
    </row>
    <row r="48" spans="1:16" ht="30" customHeight="1">
      <c r="B48" s="32"/>
      <c r="D48" s="29" t="s">
        <v>381</v>
      </c>
      <c r="F48" s="104"/>
      <c r="G48" s="105"/>
      <c r="L48" s="97"/>
      <c r="P48" s="39"/>
    </row>
    <row r="49" spans="1:17" ht="30" customHeight="1">
      <c r="B49" s="32" t="s">
        <v>343</v>
      </c>
      <c r="C49" s="29">
        <v>23</v>
      </c>
      <c r="D49" t="s">
        <v>382</v>
      </c>
      <c r="E49" t="s">
        <v>383</v>
      </c>
      <c r="F49" s="104">
        <v>5769.23</v>
      </c>
      <c r="G49" s="100">
        <f>(F49-(LOOKUP(F49,ISR!$A$6:$B$17,ISR!$A$6:$A$17)))*(LOOKUP(F49,ISR!$A$6:$B$17,ISR!$D$6:$D$17))+(LOOKUP(F49,ISR!$A$6:$B$17,ISR!$C$6:$C$17))</f>
        <v>485.5551999999999</v>
      </c>
      <c r="H49" s="103">
        <v>581.97</v>
      </c>
      <c r="I49" s="103">
        <v>0</v>
      </c>
      <c r="J49" s="103">
        <v>0</v>
      </c>
      <c r="K49" s="100">
        <v>0</v>
      </c>
      <c r="L49" s="99">
        <f>F49-G49-I49-J49-K49+H49</f>
        <v>5865.6448</v>
      </c>
      <c r="M49" s="113"/>
      <c r="N49" s="54"/>
      <c r="O49" s="113"/>
    </row>
    <row r="50" spans="1:17" ht="15" customHeight="1">
      <c r="B50" s="32"/>
      <c r="F50" s="108">
        <f t="shared" ref="F50:L50" si="7">+F49</f>
        <v>5769.23</v>
      </c>
      <c r="G50" s="84">
        <f t="shared" si="7"/>
        <v>485.5551999999999</v>
      </c>
      <c r="H50" s="84">
        <f t="shared" si="7"/>
        <v>581.97</v>
      </c>
      <c r="I50" s="85">
        <f t="shared" si="7"/>
        <v>0</v>
      </c>
      <c r="J50" s="84">
        <f t="shared" si="7"/>
        <v>0</v>
      </c>
      <c r="K50" s="84">
        <f t="shared" si="7"/>
        <v>0</v>
      </c>
      <c r="L50" s="85">
        <f t="shared" si="7"/>
        <v>5865.6448</v>
      </c>
      <c r="M50" s="50"/>
      <c r="N50" s="18"/>
      <c r="O50" s="18"/>
    </row>
    <row r="51" spans="1:17" ht="15" customHeight="1">
      <c r="B51" s="32"/>
      <c r="F51" s="109"/>
      <c r="G51" s="84"/>
      <c r="K51" s="84"/>
      <c r="L51" s="85"/>
      <c r="M51" s="18"/>
      <c r="N51" s="18"/>
      <c r="O51" s="18"/>
    </row>
    <row r="52" spans="1:17" ht="15" customHeight="1">
      <c r="B52" s="32"/>
      <c r="F52" s="109"/>
      <c r="G52" s="84"/>
      <c r="K52" s="84"/>
      <c r="L52" s="85"/>
      <c r="M52" s="18"/>
      <c r="N52" s="18"/>
      <c r="O52" s="18"/>
    </row>
    <row r="53" spans="1:17" ht="22.5" customHeight="1">
      <c r="B53" s="32"/>
      <c r="D53" s="87" t="s">
        <v>1</v>
      </c>
      <c r="E53" s="88"/>
      <c r="F53" s="85"/>
      <c r="G53" s="84"/>
      <c r="K53" s="84"/>
      <c r="L53" s="84"/>
      <c r="M53" s="50"/>
      <c r="N53" s="18"/>
      <c r="O53" s="18"/>
    </row>
    <row r="54" spans="1:17" ht="21" customHeight="1">
      <c r="B54" s="32"/>
      <c r="D54" s="89" t="s">
        <v>530</v>
      </c>
      <c r="E54" s="88"/>
      <c r="F54" s="85"/>
      <c r="G54" s="84"/>
      <c r="K54" s="308" t="s">
        <v>527</v>
      </c>
      <c r="L54" s="308"/>
      <c r="M54" s="18"/>
      <c r="N54" s="18"/>
      <c r="O54" s="18"/>
    </row>
    <row r="55" spans="1:17" ht="36" customHeight="1">
      <c r="B55" s="32"/>
      <c r="E55" s="92" t="s">
        <v>7</v>
      </c>
      <c r="F55" s="92" t="s">
        <v>9</v>
      </c>
      <c r="G55" s="92" t="s">
        <v>14</v>
      </c>
      <c r="H55" s="93" t="s">
        <v>13</v>
      </c>
      <c r="I55" s="229" t="s">
        <v>341</v>
      </c>
      <c r="J55" s="93" t="s">
        <v>15</v>
      </c>
      <c r="K55" s="93" t="s">
        <v>341</v>
      </c>
      <c r="L55" s="92" t="s">
        <v>18</v>
      </c>
      <c r="M55" s="18"/>
      <c r="N55" s="18"/>
      <c r="O55" s="18"/>
    </row>
    <row r="56" spans="1:17" ht="30" customHeight="1">
      <c r="B56" s="32"/>
      <c r="D56" s="29" t="s">
        <v>384</v>
      </c>
      <c r="F56" s="97"/>
      <c r="G56" s="20"/>
      <c r="L56" s="97"/>
      <c r="M56" s="39"/>
    </row>
    <row r="57" spans="1:17" ht="30" customHeight="1">
      <c r="A57" s="29" t="s">
        <v>385</v>
      </c>
      <c r="B57" s="32" t="s">
        <v>343</v>
      </c>
      <c r="C57" s="29">
        <v>24</v>
      </c>
      <c r="D57" t="s">
        <v>386</v>
      </c>
      <c r="E57" t="s">
        <v>387</v>
      </c>
      <c r="F57" s="99">
        <v>5769.2250000000004</v>
      </c>
      <c r="G57" s="100">
        <f>(F57-(LOOKUP(F57,ISR!$A$6:$B$17,ISR!$A$6:$A$17)))*(LOOKUP(F57,ISR!$A$6:$B$17,ISR!$D$6:$D$17))+(LOOKUP(F57,ISR!$A$6:$B$17,ISR!$C$6:$C$17))</f>
        <v>485.55440000000004</v>
      </c>
      <c r="H57" s="101">
        <v>0</v>
      </c>
      <c r="I57" s="103">
        <v>0</v>
      </c>
      <c r="J57" s="101"/>
      <c r="K57" s="100">
        <v>0</v>
      </c>
      <c r="L57" s="99">
        <f>F57-G57-I57-J57-K57+H57</f>
        <v>5283.6706000000004</v>
      </c>
      <c r="M57" s="113"/>
      <c r="N57" s="113"/>
      <c r="O57" s="113"/>
    </row>
    <row r="58" spans="1:17" ht="15" customHeight="1">
      <c r="B58" s="32"/>
      <c r="F58" s="85">
        <f>+F57</f>
        <v>5769.2250000000004</v>
      </c>
      <c r="G58" s="84">
        <f t="shared" ref="G58:L58" si="8">SUM(G57)</f>
        <v>485.55440000000004</v>
      </c>
      <c r="H58" s="84">
        <f t="shared" si="8"/>
        <v>0</v>
      </c>
      <c r="I58" s="85">
        <f t="shared" si="8"/>
        <v>0</v>
      </c>
      <c r="J58" s="84">
        <f t="shared" si="8"/>
        <v>0</v>
      </c>
      <c r="K58" s="84">
        <f t="shared" si="8"/>
        <v>0</v>
      </c>
      <c r="L58" s="85">
        <f t="shared" si="8"/>
        <v>5283.6706000000004</v>
      </c>
      <c r="M58" s="117"/>
      <c r="N58" s="117"/>
      <c r="O58" s="117"/>
    </row>
    <row r="59" spans="1:17" ht="30" customHeight="1">
      <c r="B59" s="32"/>
      <c r="D59" s="29" t="s">
        <v>82</v>
      </c>
      <c r="F59" s="97"/>
      <c r="G59" s="20"/>
      <c r="L59" s="97"/>
    </row>
    <row r="60" spans="1:17" ht="30" customHeight="1">
      <c r="B60" s="32" t="s">
        <v>343</v>
      </c>
      <c r="C60" s="29">
        <v>25</v>
      </c>
      <c r="D60" t="s">
        <v>388</v>
      </c>
      <c r="E60" t="s">
        <v>389</v>
      </c>
      <c r="F60" s="99">
        <v>5769.2250000000004</v>
      </c>
      <c r="G60" s="100">
        <f>(F60-(LOOKUP(F60,ISR!$A$6:$B$17,ISR!$A$6:$A$17)))*(LOOKUP(F60,ISR!$A$6:$B$17,ISR!$D$6:$D$17))+(LOOKUP(F60,ISR!$A$6:$B$17,ISR!$C$6:$C$17))</f>
        <v>485.55440000000004</v>
      </c>
      <c r="H60" s="101">
        <v>0</v>
      </c>
      <c r="I60" s="103">
        <v>0</v>
      </c>
      <c r="J60" s="101"/>
      <c r="K60" s="100">
        <v>0</v>
      </c>
      <c r="L60" s="99">
        <f>F60-G60-I60-J60-K60+H60</f>
        <v>5283.6706000000004</v>
      </c>
      <c r="M60" s="113"/>
      <c r="N60" s="113"/>
      <c r="O60" s="113"/>
    </row>
    <row r="61" spans="1:17" ht="15" customHeight="1">
      <c r="B61" s="32"/>
      <c r="F61" s="85">
        <f t="shared" ref="F61:L61" si="9">SUM(F60:F60)</f>
        <v>5769.2250000000004</v>
      </c>
      <c r="G61" s="84">
        <f t="shared" si="9"/>
        <v>485.55440000000004</v>
      </c>
      <c r="H61" s="84">
        <f t="shared" si="9"/>
        <v>0</v>
      </c>
      <c r="I61" s="85">
        <f t="shared" si="9"/>
        <v>0</v>
      </c>
      <c r="J61" s="84">
        <f t="shared" si="9"/>
        <v>0</v>
      </c>
      <c r="K61" s="84">
        <f t="shared" si="9"/>
        <v>0</v>
      </c>
      <c r="L61" s="85">
        <f t="shared" si="9"/>
        <v>5283.6706000000004</v>
      </c>
      <c r="M61" s="117"/>
      <c r="N61" s="117"/>
      <c r="O61" s="117"/>
    </row>
    <row r="62" spans="1:17" ht="30" customHeight="1">
      <c r="B62" s="32"/>
      <c r="D62" s="29" t="s">
        <v>59</v>
      </c>
      <c r="F62" s="97"/>
      <c r="G62" s="20"/>
      <c r="L62" s="97"/>
      <c r="M62" s="18"/>
      <c r="N62" s="18"/>
      <c r="O62" s="18"/>
      <c r="P62" s="20"/>
    </row>
    <row r="63" spans="1:17" ht="30" customHeight="1">
      <c r="B63" s="32" t="s">
        <v>343</v>
      </c>
      <c r="C63" s="29">
        <v>26</v>
      </c>
      <c r="D63" s="98" t="s">
        <v>390</v>
      </c>
      <c r="E63" s="98" t="s">
        <v>391</v>
      </c>
      <c r="F63" s="99">
        <v>11232.27</v>
      </c>
      <c r="G63" s="99">
        <f>(F63-(LOOKUP(F63,ISR!$A$6:$B$17,ISR!$A$6:$A$17)))*(LOOKUP(F63,ISR!$A$6:$B$17,ISR!$D$6:$D$17))+(LOOKUP(F63,ISR!$A$6:$B$17,ISR!$C$6:$C$17))</f>
        <v>1576.1508960000001</v>
      </c>
      <c r="H63" s="103"/>
      <c r="I63" s="103">
        <v>0</v>
      </c>
      <c r="J63" s="103">
        <v>0</v>
      </c>
      <c r="K63" s="99">
        <v>0</v>
      </c>
      <c r="L63" s="99">
        <f>F63-G63-I63-J63-K63+H63</f>
        <v>9656.1191040000012</v>
      </c>
      <c r="M63" s="113"/>
      <c r="N63" s="113"/>
      <c r="O63" s="113"/>
      <c r="P63" s="20"/>
      <c r="Q63" s="39"/>
    </row>
    <row r="64" spans="1:17" ht="30" customHeight="1">
      <c r="B64" s="32"/>
      <c r="F64" s="85">
        <f t="shared" ref="F64:L64" si="10">SUM(F63)</f>
        <v>11232.27</v>
      </c>
      <c r="G64" s="85">
        <f t="shared" si="10"/>
        <v>1576.1508960000001</v>
      </c>
      <c r="H64" s="85">
        <f t="shared" si="10"/>
        <v>0</v>
      </c>
      <c r="I64" s="85">
        <f t="shared" si="10"/>
        <v>0</v>
      </c>
      <c r="J64" s="85">
        <f t="shared" si="10"/>
        <v>0</v>
      </c>
      <c r="K64" s="85">
        <f t="shared" si="10"/>
        <v>0</v>
      </c>
      <c r="L64" s="85">
        <f t="shared" si="10"/>
        <v>9656.1191040000012</v>
      </c>
      <c r="M64" s="18"/>
      <c r="N64" s="18"/>
      <c r="O64" s="18"/>
    </row>
    <row r="65" spans="2:18" ht="30" customHeight="1">
      <c r="B65" s="32"/>
      <c r="D65" s="29" t="s">
        <v>392</v>
      </c>
      <c r="F65" s="104"/>
      <c r="G65" s="20"/>
      <c r="H65" s="106"/>
      <c r="I65" s="109"/>
      <c r="J65" s="106"/>
      <c r="K65" s="105"/>
      <c r="L65" s="104"/>
      <c r="M65" s="18"/>
      <c r="N65" s="18"/>
      <c r="O65" s="18"/>
    </row>
    <row r="66" spans="2:18" ht="30" customHeight="1">
      <c r="B66" s="32" t="s">
        <v>343</v>
      </c>
      <c r="C66" s="29">
        <v>27</v>
      </c>
      <c r="D66" t="s">
        <v>393</v>
      </c>
      <c r="E66" t="s">
        <v>394</v>
      </c>
      <c r="F66" s="99">
        <v>5769.2250000000004</v>
      </c>
      <c r="G66" s="100">
        <f>(F66-(LOOKUP(F66,ISR!$A$6:$B$17,ISR!$A$6:$A$17)))*(LOOKUP(F66,ISR!$A$6:$B$17,ISR!$D$6:$D$17))+(LOOKUP(F66,ISR!$A$6:$B$17,ISR!$C$6:$C$17))</f>
        <v>485.55440000000004</v>
      </c>
      <c r="H66" s="101">
        <v>0</v>
      </c>
      <c r="I66" s="103">
        <v>0</v>
      </c>
      <c r="J66" s="101">
        <v>0</v>
      </c>
      <c r="K66" s="100">
        <v>0</v>
      </c>
      <c r="L66" s="99">
        <f>F66-G66-I66-J66-K66+H66</f>
        <v>5283.6706000000004</v>
      </c>
      <c r="M66" s="113"/>
      <c r="N66" s="113"/>
      <c r="O66" s="113"/>
    </row>
    <row r="67" spans="2:18" ht="30" customHeight="1">
      <c r="B67" s="32"/>
      <c r="F67" s="85">
        <f>SUM(F66)</f>
        <v>5769.2250000000004</v>
      </c>
      <c r="G67" s="85">
        <f>SUM(G66)</f>
        <v>485.55440000000004</v>
      </c>
      <c r="H67" s="85"/>
      <c r="I67" s="85">
        <f>SUM(I63:I66)</f>
        <v>0</v>
      </c>
      <c r="J67" s="85">
        <f>SUM(J63:J66)</f>
        <v>0</v>
      </c>
      <c r="K67" s="85">
        <f>SUM(K63:K66)</f>
        <v>0</v>
      </c>
      <c r="L67" s="85">
        <f>SUM(L66)</f>
        <v>5283.6706000000004</v>
      </c>
      <c r="M67" s="18"/>
      <c r="N67" s="18"/>
      <c r="O67" s="18"/>
    </row>
    <row r="68" spans="2:18" ht="30" customHeight="1">
      <c r="B68" s="32"/>
      <c r="D68" s="29" t="s">
        <v>330</v>
      </c>
      <c r="F68" s="97"/>
      <c r="G68" s="20"/>
      <c r="L68" s="97"/>
      <c r="M68" s="18"/>
      <c r="N68" s="18"/>
      <c r="O68" s="18"/>
    </row>
    <row r="69" spans="2:18" ht="35.25" customHeight="1">
      <c r="B69" s="32" t="s">
        <v>343</v>
      </c>
      <c r="C69" s="29">
        <v>28</v>
      </c>
      <c r="D69" t="s">
        <v>118</v>
      </c>
      <c r="E69" t="s">
        <v>395</v>
      </c>
      <c r="F69" s="99">
        <v>5769.23</v>
      </c>
      <c r="G69" s="100">
        <f>(F69-(LOOKUP(F69,ISR!$A$6:$B$17,ISR!$A$6:$A$17)))*(LOOKUP(F69,ISR!$A$6:$B$17,ISR!$D$6:$D$17))+(LOOKUP(F69,ISR!$A$6:$B$17,ISR!$C$6:$C$17))</f>
        <v>485.5551999999999</v>
      </c>
      <c r="H69" s="103">
        <v>581.97</v>
      </c>
      <c r="I69" s="103"/>
      <c r="J69" s="101">
        <f>F69/15*1</f>
        <v>384.6153333333333</v>
      </c>
      <c r="K69" s="100">
        <v>0</v>
      </c>
      <c r="L69" s="99">
        <f>F69-G69-I69-J69-K69+H69</f>
        <v>5481.0294666666668</v>
      </c>
      <c r="M69" s="113"/>
      <c r="N69" s="54"/>
      <c r="O69" s="113"/>
      <c r="P69" s="56">
        <v>6000</v>
      </c>
      <c r="Q69" s="125" t="s">
        <v>396</v>
      </c>
      <c r="R69" s="126" t="s">
        <v>397</v>
      </c>
    </row>
    <row r="70" spans="2:18" ht="15" customHeight="1">
      <c r="B70" s="32"/>
      <c r="F70" s="85">
        <f t="shared" ref="F70:L70" si="11">SUM(F69)</f>
        <v>5769.23</v>
      </c>
      <c r="G70" s="85">
        <f t="shared" si="11"/>
        <v>485.5551999999999</v>
      </c>
      <c r="H70" s="85">
        <f t="shared" si="11"/>
        <v>581.97</v>
      </c>
      <c r="I70" s="85">
        <f t="shared" si="11"/>
        <v>0</v>
      </c>
      <c r="J70" s="85">
        <f t="shared" si="11"/>
        <v>384.6153333333333</v>
      </c>
      <c r="K70" s="85">
        <f t="shared" si="11"/>
        <v>0</v>
      </c>
      <c r="L70" s="85">
        <f t="shared" si="11"/>
        <v>5481.0294666666668</v>
      </c>
      <c r="M70" s="18"/>
      <c r="N70" s="18"/>
      <c r="O70" s="18"/>
    </row>
    <row r="71" spans="2:18" ht="15" customHeight="1">
      <c r="B71" s="32"/>
      <c r="F71" s="85"/>
      <c r="G71" s="85"/>
      <c r="H71" s="85"/>
      <c r="J71" s="85"/>
      <c r="K71" s="85"/>
      <c r="L71" s="85"/>
      <c r="M71" s="18"/>
      <c r="N71" s="18"/>
      <c r="O71" s="18"/>
    </row>
    <row r="72" spans="2:18" ht="30" customHeight="1">
      <c r="B72" s="32"/>
      <c r="D72" s="29" t="s">
        <v>270</v>
      </c>
      <c r="F72" s="97"/>
      <c r="G72" s="20"/>
      <c r="L72" s="97"/>
      <c r="M72" s="18"/>
      <c r="N72" s="18"/>
      <c r="O72" s="18"/>
    </row>
    <row r="73" spans="2:18" ht="30" customHeight="1">
      <c r="B73" s="32" t="s">
        <v>343</v>
      </c>
      <c r="C73" s="29">
        <v>29</v>
      </c>
      <c r="D73" t="s">
        <v>118</v>
      </c>
      <c r="E73" t="s">
        <v>398</v>
      </c>
      <c r="F73" s="104">
        <v>5769.2250000000004</v>
      </c>
      <c r="G73" s="100">
        <f>(F73-(LOOKUP(F73,ISR!$A$6:$B$17,ISR!$A$6:$A$17)))*(LOOKUP(F73,ISR!$A$6:$B$17,ISR!$D$6:$D$17))+(LOOKUP(F73,ISR!$A$6:$B$17,ISR!$C$6:$C$17))</f>
        <v>485.55440000000004</v>
      </c>
      <c r="H73" s="106"/>
      <c r="I73" s="109">
        <v>0</v>
      </c>
      <c r="J73" s="106"/>
      <c r="K73" s="105">
        <v>0</v>
      </c>
      <c r="L73" s="104">
        <f>F73-G73-I73-J73-K73+H73</f>
        <v>5283.6706000000004</v>
      </c>
      <c r="M73" s="113"/>
      <c r="N73" s="113"/>
      <c r="O73" s="113"/>
    </row>
    <row r="74" spans="2:18" ht="15" customHeight="1">
      <c r="B74" s="32"/>
      <c r="F74" s="108">
        <f t="shared" ref="F74:L74" si="12">SUM(F73:F73)</f>
        <v>5769.2250000000004</v>
      </c>
      <c r="G74" s="108">
        <f t="shared" si="12"/>
        <v>485.55440000000004</v>
      </c>
      <c r="H74" s="108">
        <f t="shared" si="12"/>
        <v>0</v>
      </c>
      <c r="I74" s="108">
        <f t="shared" si="12"/>
        <v>0</v>
      </c>
      <c r="J74" s="108">
        <f t="shared" si="12"/>
        <v>0</v>
      </c>
      <c r="K74" s="108">
        <f t="shared" si="12"/>
        <v>0</v>
      </c>
      <c r="L74" s="108">
        <f t="shared" si="12"/>
        <v>5283.6706000000004</v>
      </c>
      <c r="M74" s="117"/>
      <c r="N74" s="117"/>
      <c r="O74" s="117"/>
    </row>
    <row r="75" spans="2:18" ht="30" customHeight="1">
      <c r="B75" s="32"/>
      <c r="D75" s="29" t="s">
        <v>224</v>
      </c>
      <c r="F75" s="97"/>
      <c r="G75" s="20"/>
      <c r="L75" s="97"/>
      <c r="M75" s="18"/>
      <c r="N75" s="18"/>
      <c r="O75" s="18"/>
    </row>
    <row r="76" spans="2:18" ht="31.5" customHeight="1">
      <c r="B76" s="32" t="s">
        <v>343</v>
      </c>
      <c r="C76" s="29">
        <v>30</v>
      </c>
      <c r="D76" t="s">
        <v>118</v>
      </c>
      <c r="E76" t="s">
        <v>399</v>
      </c>
      <c r="F76" s="99">
        <v>5769.2250000000004</v>
      </c>
      <c r="G76" s="100">
        <f>(F76-(LOOKUP(F76,ISR!$A$6:$B$17,ISR!$A$6:$A$17)))*(LOOKUP(F76,ISR!$A$6:$B$17,ISR!$D$6:$D$17))+(LOOKUP(F76,ISR!$A$6:$B$17,ISR!$C$6:$C$17))</f>
        <v>485.55440000000004</v>
      </c>
      <c r="H76" s="101">
        <v>0</v>
      </c>
      <c r="I76" s="103">
        <v>500</v>
      </c>
      <c r="J76" s="101"/>
      <c r="K76" s="100">
        <v>0</v>
      </c>
      <c r="L76" s="99">
        <f>F76-G76-I76-J76-K76+H76</f>
        <v>4783.6706000000004</v>
      </c>
      <c r="M76" s="113"/>
      <c r="N76" s="113"/>
      <c r="O76" s="113"/>
      <c r="P76" t="s">
        <v>400</v>
      </c>
    </row>
    <row r="77" spans="2:18" ht="15" customHeight="1">
      <c r="B77" s="32"/>
      <c r="F77" s="85">
        <f t="shared" ref="F77:L77" si="13">SUM(F76:F76)</f>
        <v>5769.2250000000004</v>
      </c>
      <c r="G77" s="84">
        <f t="shared" si="13"/>
        <v>485.55440000000004</v>
      </c>
      <c r="H77" s="84">
        <f t="shared" si="13"/>
        <v>0</v>
      </c>
      <c r="I77" s="85">
        <f t="shared" si="13"/>
        <v>500</v>
      </c>
      <c r="J77" s="84">
        <f t="shared" si="13"/>
        <v>0</v>
      </c>
      <c r="K77" s="84">
        <f t="shared" si="13"/>
        <v>0</v>
      </c>
      <c r="L77" s="85">
        <f t="shared" si="13"/>
        <v>4783.6706000000004</v>
      </c>
      <c r="M77" s="18"/>
      <c r="N77" s="18"/>
      <c r="O77" s="18"/>
    </row>
    <row r="78" spans="2:18" ht="21.75" customHeight="1">
      <c r="B78" s="32"/>
      <c r="D78" s="29" t="s">
        <v>401</v>
      </c>
      <c r="F78" s="97"/>
      <c r="G78" s="20"/>
      <c r="L78" s="97"/>
    </row>
    <row r="79" spans="2:18" ht="43.5" customHeight="1">
      <c r="B79" s="32" t="s">
        <v>343</v>
      </c>
      <c r="C79" s="29">
        <v>31</v>
      </c>
      <c r="D79" t="s">
        <v>402</v>
      </c>
      <c r="E79" t="s">
        <v>403</v>
      </c>
      <c r="F79" s="99">
        <v>5769.2250000000004</v>
      </c>
      <c r="G79" s="100">
        <f>(F79-(LOOKUP(F79,ISR!$A$6:$B$17,ISR!$A$6:$A$17)))*(LOOKUP(F79,ISR!$A$6:$B$17,ISR!$D$6:$D$17))+(LOOKUP(F79,ISR!$A$6:$B$17,ISR!$C$6:$C$17))</f>
        <v>485.55440000000004</v>
      </c>
      <c r="H79" s="101"/>
      <c r="I79" s="103">
        <v>0</v>
      </c>
      <c r="J79" s="101"/>
      <c r="K79" s="100">
        <v>0</v>
      </c>
      <c r="L79" s="99">
        <f>F79-G79-I79-J79-K79+H79</f>
        <v>5283.6706000000004</v>
      </c>
      <c r="M79" s="113"/>
      <c r="N79" s="113"/>
      <c r="O79" s="113"/>
    </row>
    <row r="80" spans="2:18" ht="15" customHeight="1">
      <c r="B80" s="32"/>
      <c r="F80" s="85">
        <f>SUM(F78:F79)</f>
        <v>5769.2250000000004</v>
      </c>
      <c r="G80" s="84">
        <f>SUM(G79:G79)</f>
        <v>485.55440000000004</v>
      </c>
      <c r="H80" s="84">
        <f>SUM(H79:H79)</f>
        <v>0</v>
      </c>
      <c r="I80" s="85">
        <f>SUM(I79:I79)</f>
        <v>0</v>
      </c>
      <c r="J80" s="84">
        <f>SUM(J79:J79)</f>
        <v>0</v>
      </c>
      <c r="K80" s="84">
        <f>SUM(K79:K79)</f>
        <v>0</v>
      </c>
      <c r="L80" s="85">
        <f>SUM(L78:L79)</f>
        <v>5283.6706000000004</v>
      </c>
      <c r="M80" s="18"/>
      <c r="N80" s="18"/>
      <c r="O80" s="18"/>
    </row>
    <row r="81" spans="2:24" ht="15" customHeight="1">
      <c r="B81" s="32"/>
      <c r="F81" s="85"/>
      <c r="G81" s="84"/>
      <c r="K81" s="84"/>
      <c r="L81" s="85"/>
      <c r="M81" s="18"/>
      <c r="N81" s="18"/>
      <c r="O81" s="18"/>
    </row>
    <row r="82" spans="2:24" ht="15" customHeight="1">
      <c r="B82" s="32"/>
      <c r="F82" s="85"/>
      <c r="G82" s="84"/>
      <c r="K82" s="84"/>
      <c r="L82" s="85"/>
      <c r="M82" s="18"/>
      <c r="N82" s="18"/>
      <c r="O82" s="18"/>
    </row>
    <row r="83" spans="2:24" ht="26.25" customHeight="1">
      <c r="B83" s="32"/>
      <c r="D83" s="87" t="s">
        <v>1</v>
      </c>
      <c r="E83" s="88"/>
      <c r="F83" s="85"/>
      <c r="G83" s="84"/>
      <c r="K83" s="84"/>
      <c r="L83" s="84"/>
      <c r="M83" s="18"/>
      <c r="N83" s="18"/>
      <c r="O83" s="18"/>
      <c r="P83" s="87"/>
      <c r="Q83" s="88"/>
      <c r="R83" s="85"/>
      <c r="S83" s="84"/>
      <c r="T83" s="84"/>
      <c r="U83" s="84"/>
      <c r="V83" s="84"/>
      <c r="W83" s="84"/>
      <c r="X83" s="84"/>
    </row>
    <row r="84" spans="2:24" ht="19.5" customHeight="1">
      <c r="B84" s="32"/>
      <c r="D84" s="89" t="s">
        <v>530</v>
      </c>
      <c r="E84" s="88"/>
      <c r="F84" s="85"/>
      <c r="G84" s="84"/>
      <c r="K84" s="308" t="s">
        <v>527</v>
      </c>
      <c r="L84" s="308"/>
      <c r="M84" s="18"/>
      <c r="N84" s="18"/>
      <c r="O84" s="18"/>
      <c r="P84" s="87"/>
      <c r="Q84" s="88"/>
      <c r="R84" s="85"/>
      <c r="S84" s="84"/>
      <c r="T84" s="84"/>
      <c r="U84" s="84"/>
      <c r="V84" s="84"/>
      <c r="W84" s="84"/>
      <c r="X84" s="84"/>
    </row>
    <row r="85" spans="2:24" ht="33.75" customHeight="1">
      <c r="B85" s="32"/>
      <c r="E85" s="92" t="s">
        <v>7</v>
      </c>
      <c r="F85" s="92" t="s">
        <v>9</v>
      </c>
      <c r="G85" s="92" t="s">
        <v>14</v>
      </c>
      <c r="H85" s="93" t="s">
        <v>13</v>
      </c>
      <c r="I85" s="229" t="s">
        <v>341</v>
      </c>
      <c r="J85" s="93" t="s">
        <v>15</v>
      </c>
      <c r="K85" s="93" t="s">
        <v>341</v>
      </c>
      <c r="L85" s="92" t="s">
        <v>18</v>
      </c>
      <c r="M85" s="18"/>
      <c r="N85" s="18"/>
      <c r="O85" s="18"/>
      <c r="P85" s="88"/>
      <c r="Q85" s="88"/>
      <c r="R85" s="85"/>
      <c r="S85" s="84"/>
      <c r="T85" s="84"/>
      <c r="U85" s="84"/>
      <c r="V85" s="84"/>
      <c r="W85" s="84"/>
      <c r="X85" s="84"/>
    </row>
    <row r="86" spans="2:24" ht="30" customHeight="1">
      <c r="B86" s="32"/>
      <c r="D86" s="29" t="s">
        <v>72</v>
      </c>
      <c r="F86" s="97"/>
      <c r="G86" s="20"/>
      <c r="L86" s="97"/>
      <c r="M86" s="18"/>
      <c r="N86" s="18"/>
      <c r="O86" s="18"/>
    </row>
    <row r="87" spans="2:24" ht="30" customHeight="1">
      <c r="B87" s="32" t="s">
        <v>343</v>
      </c>
      <c r="C87" s="29">
        <v>32</v>
      </c>
      <c r="D87" t="s">
        <v>118</v>
      </c>
      <c r="E87" t="s">
        <v>404</v>
      </c>
      <c r="F87" s="99">
        <v>5769.2250000000004</v>
      </c>
      <c r="G87" s="100">
        <f>(F87-(LOOKUP(F87,ISR!$A$6:$B$17,ISR!$A$6:$A$17)))*(LOOKUP(F87,ISR!$A$6:$B$17,ISR!$D$6:$D$17))+(LOOKUP(F87,ISR!$A$6:$B$17,ISR!$C$6:$C$17))</f>
        <v>485.55440000000004</v>
      </c>
      <c r="H87" s="101"/>
      <c r="I87" s="103"/>
      <c r="J87" s="101"/>
      <c r="K87" s="100"/>
      <c r="L87" s="99">
        <f>F87-G87-I87-J87-K87+H87</f>
        <v>5283.6706000000004</v>
      </c>
      <c r="M87" s="113"/>
      <c r="N87" s="113"/>
      <c r="O87" s="113"/>
    </row>
    <row r="88" spans="2:24" ht="15" customHeight="1">
      <c r="B88" s="32"/>
      <c r="F88" s="85">
        <f t="shared" ref="F88:L88" si="14">SUM(F87:F87)</f>
        <v>5769.2250000000004</v>
      </c>
      <c r="G88" s="84">
        <f t="shared" si="14"/>
        <v>485.55440000000004</v>
      </c>
      <c r="H88" s="84">
        <f t="shared" si="14"/>
        <v>0</v>
      </c>
      <c r="I88" s="85">
        <f t="shared" si="14"/>
        <v>0</v>
      </c>
      <c r="J88" s="84">
        <f t="shared" si="14"/>
        <v>0</v>
      </c>
      <c r="K88" s="84">
        <f t="shared" si="14"/>
        <v>0</v>
      </c>
      <c r="L88" s="85">
        <f t="shared" si="14"/>
        <v>5283.6706000000004</v>
      </c>
      <c r="M88" s="18"/>
      <c r="N88" s="18"/>
      <c r="O88" s="18"/>
    </row>
    <row r="89" spans="2:24" ht="30" customHeight="1">
      <c r="B89" s="32"/>
      <c r="D89" s="29" t="s">
        <v>405</v>
      </c>
      <c r="F89" s="97"/>
      <c r="G89" s="20"/>
      <c r="L89" s="97"/>
    </row>
    <row r="90" spans="2:24" ht="30" customHeight="1">
      <c r="B90" s="32" t="s">
        <v>343</v>
      </c>
      <c r="C90" s="29">
        <v>33</v>
      </c>
      <c r="D90" t="s">
        <v>402</v>
      </c>
      <c r="E90" t="s">
        <v>406</v>
      </c>
      <c r="F90" s="99">
        <v>5769.2250000000004</v>
      </c>
      <c r="G90" s="100">
        <f>(F90-(LOOKUP(F90,ISR!$A$6:$B$17,ISR!$A$6:$A$17)))*(LOOKUP(F90,ISR!$A$6:$B$17,ISR!$D$6:$D$17))+(LOOKUP(F90,ISR!$A$6:$B$17,ISR!$C$6:$C$17))</f>
        <v>485.55440000000004</v>
      </c>
      <c r="H90" s="101">
        <v>0</v>
      </c>
      <c r="I90" s="103">
        <v>0</v>
      </c>
      <c r="J90" s="101"/>
      <c r="K90" s="100">
        <v>0</v>
      </c>
      <c r="L90" s="99">
        <f>F90-G90-I90-J90-K90+H90</f>
        <v>5283.6706000000004</v>
      </c>
      <c r="M90" s="119"/>
      <c r="N90" s="119"/>
      <c r="O90" s="119"/>
    </row>
    <row r="91" spans="2:24" ht="15" customHeight="1">
      <c r="B91" s="32"/>
      <c r="F91" s="85">
        <f t="shared" ref="F91:L91" si="15">SUM(F90:F90)</f>
        <v>5769.2250000000004</v>
      </c>
      <c r="G91" s="84">
        <f t="shared" si="15"/>
        <v>485.55440000000004</v>
      </c>
      <c r="H91" s="84">
        <f t="shared" si="15"/>
        <v>0</v>
      </c>
      <c r="I91" s="85">
        <f t="shared" si="15"/>
        <v>0</v>
      </c>
      <c r="J91" s="84">
        <f t="shared" si="15"/>
        <v>0</v>
      </c>
      <c r="K91" s="84">
        <f t="shared" si="15"/>
        <v>0</v>
      </c>
      <c r="L91" s="85">
        <f t="shared" si="15"/>
        <v>5283.6706000000004</v>
      </c>
      <c r="M91" s="18"/>
      <c r="N91" s="18"/>
      <c r="O91" s="18"/>
    </row>
    <row r="92" spans="2:24" ht="30" customHeight="1">
      <c r="B92" s="32"/>
      <c r="D92" s="29" t="s">
        <v>407</v>
      </c>
      <c r="F92" s="97"/>
      <c r="G92" s="20"/>
      <c r="L92" s="97"/>
      <c r="M92" s="18"/>
      <c r="N92" s="18"/>
      <c r="O92" s="18"/>
    </row>
    <row r="93" spans="2:24" ht="30" customHeight="1">
      <c r="B93" s="32" t="s">
        <v>343</v>
      </c>
      <c r="C93" s="29">
        <v>34</v>
      </c>
      <c r="D93" t="s">
        <v>402</v>
      </c>
      <c r="E93" t="s">
        <v>408</v>
      </c>
      <c r="F93" s="99">
        <v>5769.2250000000004</v>
      </c>
      <c r="G93" s="100">
        <f>(F93-(LOOKUP(F93,ISR!$A$6:$B$17,ISR!$A$6:$A$17)))*(LOOKUP(F93,ISR!$A$6:$B$17,ISR!$D$6:$D$17))+(LOOKUP(F93,ISR!$A$6:$B$17,ISR!$C$6:$C$17))</f>
        <v>485.55440000000004</v>
      </c>
      <c r="H93" s="101">
        <v>0</v>
      </c>
      <c r="I93" s="103">
        <v>0</v>
      </c>
      <c r="J93" s="101">
        <v>0</v>
      </c>
      <c r="K93" s="100">
        <v>0</v>
      </c>
      <c r="L93" s="99">
        <f>F93-G93-I93-J93-K93+H93</f>
        <v>5283.6706000000004</v>
      </c>
      <c r="M93" s="119"/>
      <c r="N93" s="119"/>
      <c r="O93" s="119"/>
    </row>
    <row r="94" spans="2:24" ht="15" customHeight="1">
      <c r="B94" s="32"/>
      <c r="F94" s="85">
        <f t="shared" ref="F94:L94" si="16">SUM(F93:F93)</f>
        <v>5769.2250000000004</v>
      </c>
      <c r="G94" s="84">
        <f t="shared" si="16"/>
        <v>485.55440000000004</v>
      </c>
      <c r="H94" s="84">
        <f t="shared" si="16"/>
        <v>0</v>
      </c>
      <c r="I94" s="85">
        <f t="shared" si="16"/>
        <v>0</v>
      </c>
      <c r="J94" s="84">
        <f t="shared" si="16"/>
        <v>0</v>
      </c>
      <c r="K94" s="84">
        <f t="shared" si="16"/>
        <v>0</v>
      </c>
      <c r="L94" s="85">
        <f t="shared" si="16"/>
        <v>5283.6706000000004</v>
      </c>
      <c r="M94" s="117"/>
      <c r="N94" s="117"/>
      <c r="O94" s="117"/>
    </row>
    <row r="95" spans="2:24" ht="30" customHeight="1">
      <c r="B95" s="32"/>
      <c r="D95" s="29" t="s">
        <v>101</v>
      </c>
      <c r="F95" s="97"/>
      <c r="G95" s="20"/>
      <c r="L95" s="97"/>
      <c r="M95" s="18"/>
      <c r="N95" s="18"/>
      <c r="O95" s="18"/>
    </row>
    <row r="96" spans="2:24" ht="30" customHeight="1">
      <c r="B96" s="32" t="s">
        <v>343</v>
      </c>
      <c r="C96" s="29">
        <v>35</v>
      </c>
      <c r="D96" t="s">
        <v>118</v>
      </c>
      <c r="E96" t="s">
        <v>409</v>
      </c>
      <c r="F96" s="99">
        <v>6804</v>
      </c>
      <c r="G96" s="100">
        <f>(F96-(LOOKUP(F96,ISR!$A$6:$B$17,ISR!$A$6:$A$17)))*(LOOKUP(F96,ISR!$A$6:$B$17,ISR!$D$6:$D$17))+(LOOKUP(F96,ISR!$A$6:$B$17,ISR!$C$6:$C$17))</f>
        <v>659.1272479999999</v>
      </c>
      <c r="H96" s="101"/>
      <c r="I96" s="103"/>
      <c r="J96" s="101">
        <v>0</v>
      </c>
      <c r="K96" s="100">
        <v>0</v>
      </c>
      <c r="L96" s="99">
        <f>F96-G96-I96-J96-K96+H96</f>
        <v>6144.8727520000002</v>
      </c>
      <c r="M96" s="113"/>
      <c r="N96" s="113"/>
      <c r="O96" s="113"/>
    </row>
    <row r="97" spans="1:15" ht="15" customHeight="1">
      <c r="B97" s="32"/>
      <c r="F97" s="85">
        <f t="shared" ref="F97:L97" si="17">SUM(F96)</f>
        <v>6804</v>
      </c>
      <c r="G97" s="84">
        <f t="shared" si="17"/>
        <v>659.1272479999999</v>
      </c>
      <c r="H97" s="84">
        <f t="shared" si="17"/>
        <v>0</v>
      </c>
      <c r="I97" s="85">
        <f t="shared" si="17"/>
        <v>0</v>
      </c>
      <c r="J97" s="84">
        <f t="shared" si="17"/>
        <v>0</v>
      </c>
      <c r="K97" s="84">
        <f t="shared" si="17"/>
        <v>0</v>
      </c>
      <c r="L97" s="85">
        <f t="shared" si="17"/>
        <v>6144.8727520000002</v>
      </c>
      <c r="M97" s="18"/>
      <c r="N97" s="18"/>
      <c r="O97" s="18"/>
    </row>
    <row r="98" spans="1:15" ht="30" customHeight="1">
      <c r="B98" s="32"/>
      <c r="D98" s="29" t="s">
        <v>410</v>
      </c>
      <c r="F98" s="97"/>
      <c r="G98" s="20"/>
      <c r="L98" s="97"/>
      <c r="M98" s="18"/>
      <c r="N98" s="18"/>
      <c r="O98" s="18"/>
    </row>
    <row r="99" spans="1:15" ht="31.5" customHeight="1">
      <c r="B99" s="32" t="s">
        <v>343</v>
      </c>
      <c r="C99" s="29">
        <v>36</v>
      </c>
      <c r="D99" t="s">
        <v>118</v>
      </c>
      <c r="E99" t="s">
        <v>411</v>
      </c>
      <c r="F99" s="99">
        <v>5769.2250000000004</v>
      </c>
      <c r="G99" s="100">
        <f>(F99-(LOOKUP(F99,ISR!$A$6:$B$17,ISR!$A$6:$A$17)))*(LOOKUP(F99,ISR!$A$6:$B$17,ISR!$D$6:$D$17))+(LOOKUP(F99,ISR!$A$6:$B$17,ISR!$C$6:$C$17))</f>
        <v>485.55440000000004</v>
      </c>
      <c r="H99" s="101">
        <v>0</v>
      </c>
      <c r="I99" s="103">
        <v>0</v>
      </c>
      <c r="J99" s="101"/>
      <c r="K99" s="100">
        <v>0</v>
      </c>
      <c r="L99" s="99">
        <f>F99-G99-I99-J99-K99+H99</f>
        <v>5283.6706000000004</v>
      </c>
      <c r="M99" s="113"/>
      <c r="N99" s="113"/>
      <c r="O99" s="113"/>
    </row>
    <row r="100" spans="1:15" ht="15" customHeight="1">
      <c r="B100" s="32"/>
      <c r="F100" s="85">
        <f t="shared" ref="F100:L100" si="18">SUM(F99)</f>
        <v>5769.2250000000004</v>
      </c>
      <c r="G100" s="84">
        <f t="shared" si="18"/>
        <v>485.55440000000004</v>
      </c>
      <c r="H100" s="84">
        <f t="shared" si="18"/>
        <v>0</v>
      </c>
      <c r="I100" s="85">
        <f t="shared" si="18"/>
        <v>0</v>
      </c>
      <c r="J100" s="84">
        <f t="shared" si="18"/>
        <v>0</v>
      </c>
      <c r="K100" s="84">
        <f t="shared" si="18"/>
        <v>0</v>
      </c>
      <c r="L100" s="85">
        <f t="shared" si="18"/>
        <v>5283.6706000000004</v>
      </c>
      <c r="M100" s="18"/>
      <c r="N100" s="18"/>
      <c r="O100" s="18"/>
    </row>
    <row r="101" spans="1:15" ht="30" customHeight="1">
      <c r="B101" s="32"/>
      <c r="D101" s="29" t="s">
        <v>412</v>
      </c>
      <c r="F101" s="97"/>
      <c r="G101" s="20"/>
      <c r="L101" s="97"/>
    </row>
    <row r="102" spans="1:15" ht="30" customHeight="1">
      <c r="B102" s="32" t="s">
        <v>343</v>
      </c>
      <c r="C102" s="29">
        <v>37</v>
      </c>
      <c r="D102" t="s">
        <v>118</v>
      </c>
      <c r="E102" t="s">
        <v>413</v>
      </c>
      <c r="F102" s="99">
        <v>5769.23</v>
      </c>
      <c r="G102" s="100">
        <f>(F102-(LOOKUP(F102,ISR!$A$6:$B$17,ISR!$A$6:$A$17)))*(LOOKUP(F102,ISR!$A$6:$B$17,ISR!$D$6:$D$17))+(LOOKUP(F102,ISR!$A$6:$B$17,ISR!$C$6:$C$17))</f>
        <v>485.5551999999999</v>
      </c>
      <c r="H102" s="103">
        <v>581.97</v>
      </c>
      <c r="I102" s="103">
        <v>0</v>
      </c>
      <c r="J102" s="101">
        <v>0</v>
      </c>
      <c r="K102" s="100">
        <v>0</v>
      </c>
      <c r="L102" s="99">
        <f>F102-G102-I102-J102-K102+H102</f>
        <v>5865.6448</v>
      </c>
      <c r="M102" s="113"/>
      <c r="N102" s="54"/>
      <c r="O102" s="113"/>
    </row>
    <row r="103" spans="1:15" ht="15" customHeight="1">
      <c r="B103" s="32"/>
      <c r="F103" s="84">
        <f t="shared" ref="F103:L103" si="19">SUM(F102:F102)</f>
        <v>5769.23</v>
      </c>
      <c r="G103" s="84">
        <f t="shared" si="19"/>
        <v>485.5551999999999</v>
      </c>
      <c r="H103" s="84">
        <f t="shared" si="19"/>
        <v>581.97</v>
      </c>
      <c r="I103" s="85">
        <f t="shared" si="19"/>
        <v>0</v>
      </c>
      <c r="J103" s="84">
        <f t="shared" si="19"/>
        <v>0</v>
      </c>
      <c r="K103" s="84">
        <f t="shared" si="19"/>
        <v>0</v>
      </c>
      <c r="L103" s="85">
        <f t="shared" si="19"/>
        <v>5865.6448</v>
      </c>
      <c r="M103" s="117"/>
      <c r="N103" s="117"/>
      <c r="O103" s="117"/>
    </row>
    <row r="104" spans="1:15" ht="30" customHeight="1">
      <c r="B104" s="32"/>
      <c r="D104" s="29" t="s">
        <v>414</v>
      </c>
      <c r="F104" s="84"/>
      <c r="G104" s="84"/>
      <c r="K104" s="84"/>
      <c r="L104" s="85"/>
      <c r="M104" s="18"/>
      <c r="N104" s="18"/>
      <c r="O104" s="18"/>
    </row>
    <row r="105" spans="1:15" ht="30" customHeight="1">
      <c r="A105" s="29"/>
      <c r="B105" s="32" t="s">
        <v>343</v>
      </c>
      <c r="C105" s="29">
        <v>38</v>
      </c>
      <c r="D105" t="s">
        <v>118</v>
      </c>
      <c r="E105" t="s">
        <v>415</v>
      </c>
      <c r="F105" s="99">
        <v>5769.2250000000004</v>
      </c>
      <c r="G105" s="100">
        <f>(F105-(LOOKUP(F105,ISR!$A$6:$B$17,ISR!$A$6:$A$17)))*(LOOKUP(F105,ISR!$A$6:$B$17,ISR!$D$6:$D$17))+(LOOKUP(F105,ISR!$A$6:$B$17,ISR!$C$6:$C$17))</f>
        <v>485.55440000000004</v>
      </c>
      <c r="H105" s="101"/>
      <c r="I105" s="103"/>
      <c r="J105" s="101"/>
      <c r="K105" s="100">
        <v>0</v>
      </c>
      <c r="L105" s="99">
        <f>F105-G105+H105-I105-J105-K105</f>
        <v>5283.6706000000004</v>
      </c>
      <c r="M105" s="113"/>
      <c r="N105" s="113"/>
      <c r="O105" s="113"/>
    </row>
    <row r="106" spans="1:15" ht="22.5" customHeight="1">
      <c r="B106" s="32"/>
      <c r="F106" s="84">
        <f t="shared" ref="F106:L106" si="20">SUM(F105:F105)</f>
        <v>5769.2250000000004</v>
      </c>
      <c r="G106" s="84">
        <f t="shared" si="20"/>
        <v>485.55440000000004</v>
      </c>
      <c r="H106" s="84">
        <f t="shared" si="20"/>
        <v>0</v>
      </c>
      <c r="I106" s="85">
        <f t="shared" si="20"/>
        <v>0</v>
      </c>
      <c r="J106" s="84">
        <f t="shared" si="20"/>
        <v>0</v>
      </c>
      <c r="K106" s="84">
        <f t="shared" si="20"/>
        <v>0</v>
      </c>
      <c r="L106" s="85">
        <f t="shared" si="20"/>
        <v>5283.6706000000004</v>
      </c>
      <c r="M106" s="117"/>
      <c r="N106" s="117"/>
      <c r="O106" s="117"/>
    </row>
    <row r="107" spans="1:15" ht="22.5" customHeight="1">
      <c r="B107" s="32"/>
      <c r="D107" s="29" t="s">
        <v>416</v>
      </c>
      <c r="F107" s="84"/>
      <c r="G107" s="84"/>
      <c r="K107" s="84"/>
      <c r="L107" s="85"/>
      <c r="M107" s="18"/>
      <c r="N107" s="18"/>
      <c r="O107" s="18"/>
    </row>
    <row r="108" spans="1:15" ht="31.5" customHeight="1">
      <c r="B108" s="32" t="s">
        <v>343</v>
      </c>
      <c r="C108" s="29">
        <v>39</v>
      </c>
      <c r="D108" t="s">
        <v>118</v>
      </c>
      <c r="E108" t="s">
        <v>417</v>
      </c>
      <c r="F108" s="99">
        <v>5769.2250000000004</v>
      </c>
      <c r="G108" s="100">
        <f>(F108-(LOOKUP(F108,ISR!$A$6:$B$17,ISR!$A$6:$A$17)))*(LOOKUP(F108,ISR!$A$6:$B$17,ISR!$D$6:$D$17))+(LOOKUP(F108,ISR!$A$6:$B$17,ISR!$C$6:$C$17))</f>
        <v>485.55440000000004</v>
      </c>
      <c r="H108" s="101">
        <v>0</v>
      </c>
      <c r="I108" s="103">
        <v>0</v>
      </c>
      <c r="J108" s="101"/>
      <c r="K108" s="100">
        <v>0</v>
      </c>
      <c r="L108" s="99">
        <f>F108-G108-I108-J108-K108+H108</f>
        <v>5283.6706000000004</v>
      </c>
      <c r="M108" s="113"/>
      <c r="N108" s="113"/>
      <c r="O108" s="113"/>
    </row>
    <row r="109" spans="1:15" ht="24.75" customHeight="1">
      <c r="B109" s="32"/>
      <c r="F109" s="84">
        <f t="shared" ref="F109:L109" si="21">SUM(F108:F108)</f>
        <v>5769.2250000000004</v>
      </c>
      <c r="G109" s="84">
        <f t="shared" si="21"/>
        <v>485.55440000000004</v>
      </c>
      <c r="H109" s="84">
        <f t="shared" si="21"/>
        <v>0</v>
      </c>
      <c r="I109" s="85">
        <f t="shared" si="21"/>
        <v>0</v>
      </c>
      <c r="J109" s="84">
        <f t="shared" si="21"/>
        <v>0</v>
      </c>
      <c r="K109" s="84">
        <f t="shared" si="21"/>
        <v>0</v>
      </c>
      <c r="L109" s="85">
        <f t="shared" si="21"/>
        <v>5283.6706000000004</v>
      </c>
      <c r="M109" s="18"/>
      <c r="N109" s="18"/>
      <c r="O109" s="18"/>
    </row>
    <row r="110" spans="1:15" ht="22.5" customHeight="1">
      <c r="B110" s="32"/>
      <c r="D110" s="87" t="s">
        <v>1</v>
      </c>
      <c r="E110" s="88"/>
      <c r="F110" s="85"/>
      <c r="G110" s="84"/>
      <c r="K110" s="84"/>
      <c r="L110" s="84"/>
      <c r="M110" s="18"/>
      <c r="N110" s="18"/>
      <c r="O110" s="18"/>
    </row>
    <row r="111" spans="1:15" ht="27.75" customHeight="1">
      <c r="B111" s="32"/>
      <c r="D111" s="89" t="s">
        <v>530</v>
      </c>
      <c r="E111" s="89"/>
      <c r="F111" s="85"/>
      <c r="G111" s="84"/>
      <c r="K111" s="308" t="s">
        <v>527</v>
      </c>
      <c r="L111" s="308"/>
      <c r="M111" s="18"/>
      <c r="N111" s="18"/>
      <c r="O111" s="18"/>
    </row>
    <row r="112" spans="1:15" ht="30" customHeight="1">
      <c r="B112" s="32"/>
      <c r="E112" s="92" t="s">
        <v>7</v>
      </c>
      <c r="F112" s="92" t="s">
        <v>9</v>
      </c>
      <c r="G112" s="92" t="s">
        <v>14</v>
      </c>
      <c r="H112" s="93" t="s">
        <v>13</v>
      </c>
      <c r="I112" s="229" t="s">
        <v>341</v>
      </c>
      <c r="J112" s="93" t="s">
        <v>15</v>
      </c>
      <c r="K112" s="93" t="s">
        <v>341</v>
      </c>
      <c r="L112" s="92" t="s">
        <v>18</v>
      </c>
      <c r="M112" s="18"/>
      <c r="N112" s="18"/>
      <c r="O112" s="18"/>
    </row>
    <row r="113" spans="1:15" ht="22.5" customHeight="1">
      <c r="B113" s="32"/>
      <c r="D113" s="29" t="s">
        <v>418</v>
      </c>
      <c r="F113" s="84"/>
      <c r="G113" s="84"/>
      <c r="K113" s="84"/>
      <c r="L113" s="85"/>
      <c r="M113" s="124"/>
      <c r="N113" s="124"/>
      <c r="O113" s="18"/>
    </row>
    <row r="114" spans="1:15" ht="24" customHeight="1">
      <c r="A114" s="122" t="s">
        <v>363</v>
      </c>
      <c r="B114" s="32" t="s">
        <v>343</v>
      </c>
      <c r="C114" s="29">
        <v>40</v>
      </c>
      <c r="D114" t="s">
        <v>118</v>
      </c>
      <c r="E114" t="s">
        <v>419</v>
      </c>
      <c r="F114" s="99">
        <v>5769.2250000000004</v>
      </c>
      <c r="G114" s="100">
        <f>(F114-(LOOKUP(F114,ISR!$A$6:$B$17,ISR!$A$6:$A$17)))*(LOOKUP(F114,ISR!$A$6:$B$17,ISR!$D$6:$D$17))+(LOOKUP(F114,ISR!$A$6:$B$17,ISR!$C$6:$C$17))</f>
        <v>485.55440000000004</v>
      </c>
      <c r="H114" s="101">
        <v>0</v>
      </c>
      <c r="I114" s="103"/>
      <c r="J114" s="101">
        <v>0</v>
      </c>
      <c r="K114" s="100">
        <v>0</v>
      </c>
      <c r="L114" s="99">
        <f>F114-G114-I114-J114-K114+H114</f>
        <v>5283.6706000000004</v>
      </c>
      <c r="M114" s="113"/>
      <c r="N114" s="113"/>
      <c r="O114" s="113"/>
    </row>
    <row r="115" spans="1:15" ht="24" customHeight="1">
      <c r="B115" s="32"/>
      <c r="F115" s="84">
        <f t="shared" ref="F115:L115" si="22">SUM(F114:F114)</f>
        <v>5769.2250000000004</v>
      </c>
      <c r="G115" s="84">
        <f t="shared" si="22"/>
        <v>485.55440000000004</v>
      </c>
      <c r="H115" s="84">
        <f t="shared" si="22"/>
        <v>0</v>
      </c>
      <c r="I115" s="85">
        <f t="shared" si="22"/>
        <v>0</v>
      </c>
      <c r="J115" s="84">
        <f t="shared" si="22"/>
        <v>0</v>
      </c>
      <c r="K115" s="84">
        <f t="shared" si="22"/>
        <v>0</v>
      </c>
      <c r="L115" s="85">
        <f t="shared" si="22"/>
        <v>5283.6706000000004</v>
      </c>
      <c r="M115" s="117"/>
      <c r="N115" s="117"/>
      <c r="O115" s="117"/>
    </row>
    <row r="116" spans="1:15" ht="39.75" customHeight="1">
      <c r="B116" s="32"/>
      <c r="D116" s="29" t="s">
        <v>420</v>
      </c>
      <c r="F116" s="84" t="s">
        <v>421</v>
      </c>
      <c r="G116" s="84"/>
      <c r="K116" s="84"/>
      <c r="L116" s="85"/>
      <c r="M116" s="18"/>
      <c r="N116" s="18"/>
      <c r="O116" s="18"/>
    </row>
    <row r="117" spans="1:15" ht="24" customHeight="1">
      <c r="B117" s="32" t="s">
        <v>343</v>
      </c>
      <c r="C117" s="29">
        <v>41</v>
      </c>
      <c r="D117" t="s">
        <v>118</v>
      </c>
      <c r="E117" t="s">
        <v>422</v>
      </c>
      <c r="F117" s="99">
        <v>5769.2250000000004</v>
      </c>
      <c r="G117" s="99">
        <f>(F117-(LOOKUP(F117,ISR!$A$6:$B$17,ISR!$A$6:$A$17)))*(LOOKUP(F117,ISR!$A$6:$B$17,ISR!$D$6:$D$17))+(LOOKUP(F117,ISR!$A$6:$B$17,ISR!$C$6:$C$17))</f>
        <v>485.55440000000004</v>
      </c>
      <c r="H117" s="103">
        <v>0</v>
      </c>
      <c r="I117" s="103"/>
      <c r="J117" s="103"/>
      <c r="K117" s="99">
        <v>0</v>
      </c>
      <c r="L117" s="99">
        <f>F117-G117-I117-J117-K117+H117</f>
        <v>5283.6706000000004</v>
      </c>
      <c r="M117" s="113"/>
      <c r="N117" s="113"/>
      <c r="O117" s="113"/>
    </row>
    <row r="118" spans="1:15" ht="24" customHeight="1">
      <c r="B118" s="32"/>
      <c r="F118" s="84">
        <f t="shared" ref="F118:L118" si="23">SUM(F117:F117)</f>
        <v>5769.2250000000004</v>
      </c>
      <c r="G118" s="84">
        <f t="shared" si="23"/>
        <v>485.55440000000004</v>
      </c>
      <c r="H118" s="84">
        <f t="shared" si="23"/>
        <v>0</v>
      </c>
      <c r="I118" s="85">
        <f t="shared" si="23"/>
        <v>0</v>
      </c>
      <c r="J118" s="84">
        <f t="shared" si="23"/>
        <v>0</v>
      </c>
      <c r="K118" s="84">
        <f t="shared" si="23"/>
        <v>0</v>
      </c>
      <c r="L118" s="85">
        <f t="shared" si="23"/>
        <v>5283.6706000000004</v>
      </c>
      <c r="M118" s="117"/>
      <c r="N118" s="117"/>
      <c r="O118" s="117"/>
    </row>
    <row r="119" spans="1:15" ht="24" customHeight="1">
      <c r="B119" s="32"/>
      <c r="D119" s="29" t="s">
        <v>161</v>
      </c>
      <c r="F119" s="84"/>
      <c r="G119" s="84"/>
      <c r="K119" s="84"/>
      <c r="L119" s="85"/>
      <c r="M119" s="18"/>
      <c r="N119" s="18"/>
      <c r="O119" s="18"/>
    </row>
    <row r="120" spans="1:15" ht="24" customHeight="1">
      <c r="B120" s="32" t="s">
        <v>343</v>
      </c>
      <c r="C120" s="29">
        <v>42</v>
      </c>
      <c r="D120" t="s">
        <v>118</v>
      </c>
      <c r="E120" t="s">
        <v>423</v>
      </c>
      <c r="F120" s="100">
        <v>5769.2250000000004</v>
      </c>
      <c r="G120" s="99">
        <f>(F120-(LOOKUP(F120,ISR!$A$6:$B$17,ISR!$A$6:$A$17)))*(LOOKUP(F120,ISR!$A$6:$B$17,ISR!$D$6:$D$17))+(LOOKUP(F120,ISR!$A$6:$B$17,ISR!$C$6:$C$17))</f>
        <v>485.55440000000004</v>
      </c>
      <c r="H120" s="101">
        <v>581.97</v>
      </c>
      <c r="I120" s="103"/>
      <c r="J120" s="101"/>
      <c r="K120" s="100"/>
      <c r="L120" s="99">
        <f>F120-G120+H120-I120-J120-K120</f>
        <v>5865.6406000000006</v>
      </c>
      <c r="M120" s="119"/>
      <c r="N120" s="119"/>
      <c r="O120" s="18"/>
    </row>
    <row r="121" spans="1:15" s="42" customFormat="1" ht="24" customHeight="1">
      <c r="A121" s="29"/>
      <c r="B121" s="123"/>
      <c r="C121" s="29"/>
      <c r="F121" s="84">
        <f t="shared" ref="F121:L121" si="24">+F120</f>
        <v>5769.2250000000004</v>
      </c>
      <c r="G121" s="84">
        <f t="shared" si="24"/>
        <v>485.55440000000004</v>
      </c>
      <c r="H121" s="84">
        <f t="shared" si="24"/>
        <v>581.97</v>
      </c>
      <c r="I121" s="85">
        <f t="shared" si="24"/>
        <v>0</v>
      </c>
      <c r="J121" s="84">
        <f t="shared" si="24"/>
        <v>0</v>
      </c>
      <c r="K121" s="84">
        <f t="shared" si="24"/>
        <v>0</v>
      </c>
      <c r="L121" s="85">
        <f t="shared" si="24"/>
        <v>5865.6406000000006</v>
      </c>
      <c r="M121" s="29"/>
      <c r="N121" s="29"/>
      <c r="O121" s="29"/>
    </row>
    <row r="122" spans="1:15" ht="20.25" customHeight="1">
      <c r="B122" s="32"/>
      <c r="D122" s="29" t="s">
        <v>424</v>
      </c>
      <c r="F122" s="84"/>
      <c r="G122" s="84"/>
      <c r="K122" s="84"/>
      <c r="L122" s="85"/>
      <c r="M122" s="18"/>
      <c r="N122" s="18"/>
      <c r="O122" s="18"/>
    </row>
    <row r="123" spans="1:15" ht="24" customHeight="1">
      <c r="B123" s="32" t="s">
        <v>343</v>
      </c>
      <c r="C123" s="29">
        <v>43</v>
      </c>
      <c r="D123" t="s">
        <v>118</v>
      </c>
      <c r="E123" t="s">
        <v>425</v>
      </c>
      <c r="F123" s="99">
        <v>5769.2250000000004</v>
      </c>
      <c r="G123" s="100">
        <f>(F123-(LOOKUP(F123,ISR!$A$6:$B$17,ISR!$A$6:$A$17)))*(LOOKUP(F123,ISR!$A$6:$B$17,ISR!$D$6:$D$17))+(LOOKUP(F123,ISR!$A$6:$B$17,ISR!$C$6:$C$17))</f>
        <v>485.55440000000004</v>
      </c>
      <c r="H123" s="101"/>
      <c r="I123" s="103">
        <v>0</v>
      </c>
      <c r="J123" s="103">
        <v>0</v>
      </c>
      <c r="K123" s="100">
        <v>0</v>
      </c>
      <c r="L123" s="99">
        <f>F123-G123-I123-J123-K123+H123</f>
        <v>5283.6706000000004</v>
      </c>
      <c r="M123" s="113"/>
      <c r="N123" s="113"/>
      <c r="O123" s="113"/>
    </row>
    <row r="124" spans="1:15" ht="17.25" customHeight="1">
      <c r="B124" s="32"/>
      <c r="F124" s="84">
        <f t="shared" ref="F124:L124" si="25">SUM(F123:F123)</f>
        <v>5769.2250000000004</v>
      </c>
      <c r="G124" s="84">
        <f t="shared" si="25"/>
        <v>485.55440000000004</v>
      </c>
      <c r="H124" s="84">
        <f t="shared" si="25"/>
        <v>0</v>
      </c>
      <c r="I124" s="85">
        <f t="shared" si="25"/>
        <v>0</v>
      </c>
      <c r="J124" s="84">
        <f t="shared" si="25"/>
        <v>0</v>
      </c>
      <c r="K124" s="84">
        <f t="shared" si="25"/>
        <v>0</v>
      </c>
      <c r="L124" s="85">
        <f t="shared" si="25"/>
        <v>5283.6706000000004</v>
      </c>
      <c r="M124" s="117"/>
      <c r="N124" s="117"/>
      <c r="O124" s="117"/>
    </row>
    <row r="125" spans="1:15" ht="20.25" customHeight="1">
      <c r="B125" s="32"/>
      <c r="D125" s="29" t="s">
        <v>426</v>
      </c>
      <c r="F125" s="84"/>
      <c r="G125" s="84"/>
      <c r="K125" s="84"/>
      <c r="L125" s="85"/>
      <c r="M125" s="18"/>
      <c r="N125" s="18"/>
      <c r="O125" s="18"/>
    </row>
    <row r="126" spans="1:15" ht="25.5" customHeight="1">
      <c r="A126" s="29" t="s">
        <v>20</v>
      </c>
      <c r="B126" s="32" t="s">
        <v>343</v>
      </c>
      <c r="C126" s="29">
        <v>44</v>
      </c>
      <c r="D126" t="s">
        <v>118</v>
      </c>
      <c r="E126" t="s">
        <v>427</v>
      </c>
      <c r="F126" s="99">
        <v>5769.2250000000004</v>
      </c>
      <c r="G126" s="100">
        <f>(F126-(LOOKUP(F126,ISR!$A$6:$B$17,ISR!$A$6:$A$17)))*(LOOKUP(F126,ISR!$A$6:$B$17,ISR!$D$6:$D$17))+(LOOKUP(F126,ISR!$A$6:$B$17,ISR!$C$6:$C$17))</f>
        <v>485.55440000000004</v>
      </c>
      <c r="H126" s="101">
        <v>0</v>
      </c>
      <c r="I126" s="103">
        <v>0</v>
      </c>
      <c r="J126" s="101">
        <f>F126/15*1</f>
        <v>384.61500000000001</v>
      </c>
      <c r="K126" s="100">
        <v>0</v>
      </c>
      <c r="L126" s="99">
        <f>F126-G126-I126-J126-K126+H126</f>
        <v>4899.0556000000006</v>
      </c>
      <c r="M126" s="113"/>
      <c r="N126" s="113"/>
      <c r="O126" s="113"/>
    </row>
    <row r="127" spans="1:15" ht="12.75" customHeight="1">
      <c r="B127" s="32"/>
      <c r="F127" s="84">
        <f t="shared" ref="F127:L127" si="26">SUM(F126:F126)</f>
        <v>5769.2250000000004</v>
      </c>
      <c r="G127" s="84">
        <f t="shared" si="26"/>
        <v>485.55440000000004</v>
      </c>
      <c r="H127" s="84">
        <f t="shared" si="26"/>
        <v>0</v>
      </c>
      <c r="I127" s="85">
        <f t="shared" si="26"/>
        <v>0</v>
      </c>
      <c r="J127" s="84">
        <f t="shared" si="26"/>
        <v>384.61500000000001</v>
      </c>
      <c r="K127" s="84">
        <f t="shared" si="26"/>
        <v>0</v>
      </c>
      <c r="L127" s="85">
        <f t="shared" si="26"/>
        <v>4899.0556000000006</v>
      </c>
      <c r="M127" s="117"/>
      <c r="N127" s="117"/>
      <c r="O127" s="117"/>
    </row>
    <row r="128" spans="1:15" ht="25.5" customHeight="1">
      <c r="B128" s="32"/>
      <c r="D128" s="29" t="s">
        <v>428</v>
      </c>
      <c r="F128" s="84"/>
      <c r="G128" s="84"/>
      <c r="K128" s="84"/>
      <c r="L128" s="84"/>
      <c r="M128" s="18"/>
      <c r="N128" s="18"/>
      <c r="O128" s="18"/>
    </row>
    <row r="129" spans="1:15" ht="32.25" customHeight="1">
      <c r="B129" s="32" t="s">
        <v>343</v>
      </c>
      <c r="C129" s="29">
        <v>45</v>
      </c>
      <c r="D129" t="s">
        <v>118</v>
      </c>
      <c r="E129" t="s">
        <v>429</v>
      </c>
      <c r="F129" s="99">
        <v>5769.23</v>
      </c>
      <c r="G129" s="100">
        <f>(F129-(LOOKUP(F129,ISR!$A$6:$B$17,ISR!$A$6:$A$17)))*(LOOKUP(F129,ISR!$A$6:$B$17,ISR!$D$6:$D$17))+(LOOKUP(F129,ISR!$A$6:$B$17,ISR!$C$6:$C$17))</f>
        <v>485.5551999999999</v>
      </c>
      <c r="H129" s="103">
        <v>2581.9699999999998</v>
      </c>
      <c r="I129" s="103"/>
      <c r="J129" s="101"/>
      <c r="K129" s="100">
        <v>0</v>
      </c>
      <c r="L129" s="99">
        <f>F129-G129-I129-J129-K129+H129</f>
        <v>7865.6448</v>
      </c>
      <c r="M129" s="113"/>
      <c r="N129" s="54"/>
      <c r="O129" s="113"/>
    </row>
    <row r="130" spans="1:15" ht="18.75" customHeight="1">
      <c r="B130" s="32"/>
      <c r="D130" s="32"/>
      <c r="E130" s="32"/>
      <c r="F130" s="84">
        <f>SUM(F129)</f>
        <v>5769.23</v>
      </c>
      <c r="G130" s="84">
        <f t="shared" ref="G130:L130" si="27">SUM(G129:G129)</f>
        <v>485.5551999999999</v>
      </c>
      <c r="H130" s="84">
        <f t="shared" si="27"/>
        <v>2581.9699999999998</v>
      </c>
      <c r="I130" s="85">
        <f t="shared" si="27"/>
        <v>0</v>
      </c>
      <c r="J130" s="20">
        <f>+J129</f>
        <v>0</v>
      </c>
      <c r="K130" s="84">
        <f t="shared" si="27"/>
        <v>0</v>
      </c>
      <c r="L130" s="84">
        <f t="shared" si="27"/>
        <v>7865.6448</v>
      </c>
      <c r="M130" s="137"/>
      <c r="N130" s="137"/>
      <c r="O130" s="137"/>
    </row>
    <row r="131" spans="1:15" ht="27" customHeight="1">
      <c r="A131" s="29"/>
      <c r="B131" s="29"/>
      <c r="C131" s="42"/>
      <c r="D131" s="29" t="s">
        <v>430</v>
      </c>
      <c r="F131" s="109"/>
      <c r="G131" s="106"/>
      <c r="H131" s="106"/>
      <c r="I131" s="109"/>
      <c r="J131" s="55"/>
      <c r="K131" s="138"/>
      <c r="L131" s="44"/>
      <c r="M131" s="44"/>
      <c r="N131" s="20"/>
    </row>
    <row r="132" spans="1:15" ht="27" customHeight="1">
      <c r="A132" s="29"/>
      <c r="B132" s="32" t="s">
        <v>343</v>
      </c>
      <c r="C132" s="29">
        <v>46</v>
      </c>
      <c r="D132" t="s">
        <v>118</v>
      </c>
      <c r="E132" t="s">
        <v>431</v>
      </c>
      <c r="F132" s="99">
        <v>5769.2250000000004</v>
      </c>
      <c r="G132" s="100">
        <f>(F132-(LOOKUP(F132,ISR!$A$6:$B$17,ISR!$A$6:$A$17)))*(LOOKUP(F132,ISR!$A$6:$B$17,ISR!$D$6:$D$17))+(LOOKUP(F132,ISR!$A$6:$B$17,ISR!$C$6:$C$17))</f>
        <v>485.55440000000004</v>
      </c>
      <c r="H132" s="101"/>
      <c r="I132" s="103"/>
      <c r="J132" s="139"/>
      <c r="K132" s="140"/>
      <c r="L132" s="46">
        <f>F132-G132+H132-I132-J132-K132</f>
        <v>5283.6706000000004</v>
      </c>
      <c r="M132" s="46"/>
      <c r="N132" s="100"/>
    </row>
    <row r="133" spans="1:15" ht="22.5" customHeight="1">
      <c r="A133" s="29"/>
      <c r="B133" s="29"/>
      <c r="C133" s="42"/>
      <c r="F133" s="109">
        <f t="shared" ref="F133:L133" si="28">+F132</f>
        <v>5769.2250000000004</v>
      </c>
      <c r="G133" s="106">
        <f t="shared" si="28"/>
        <v>485.55440000000004</v>
      </c>
      <c r="H133" s="106">
        <f t="shared" si="28"/>
        <v>0</v>
      </c>
      <c r="I133" s="109">
        <f t="shared" si="28"/>
        <v>0</v>
      </c>
      <c r="J133" s="55">
        <f t="shared" si="28"/>
        <v>0</v>
      </c>
      <c r="K133" s="48">
        <f t="shared" si="28"/>
        <v>0</v>
      </c>
      <c r="L133" s="141">
        <f t="shared" si="28"/>
        <v>5283.6706000000004</v>
      </c>
      <c r="M133" s="44"/>
      <c r="N133" s="20"/>
    </row>
    <row r="134" spans="1:15" ht="27" customHeight="1">
      <c r="A134" s="29"/>
      <c r="B134" s="29"/>
      <c r="C134" s="42"/>
      <c r="D134" s="29" t="s">
        <v>432</v>
      </c>
      <c r="F134" s="109"/>
      <c r="G134" s="106"/>
      <c r="H134" s="106"/>
      <c r="I134" s="109"/>
      <c r="J134" s="55"/>
      <c r="K134" s="138"/>
      <c r="L134" s="44"/>
      <c r="M134" s="44"/>
      <c r="N134" s="20"/>
    </row>
    <row r="135" spans="1:15" ht="27" customHeight="1">
      <c r="A135" s="29"/>
      <c r="B135" s="32" t="s">
        <v>343</v>
      </c>
      <c r="C135" s="29">
        <v>47</v>
      </c>
      <c r="D135" t="s">
        <v>118</v>
      </c>
      <c r="E135" t="s">
        <v>433</v>
      </c>
      <c r="F135" s="99">
        <v>5769.2250000000004</v>
      </c>
      <c r="G135" s="100">
        <f>(F135-(LOOKUP(F135,ISR!$A$6:$B$17,ISR!$A$6:$A$17)))*(LOOKUP(F135,ISR!$A$6:$B$17,ISR!$D$6:$D$17))+(LOOKUP(F135,ISR!$A$6:$B$17,ISR!$C$6:$C$17))</f>
        <v>485.55440000000004</v>
      </c>
      <c r="H135" s="101"/>
      <c r="I135" s="103"/>
      <c r="J135" s="139"/>
      <c r="K135" s="140"/>
      <c r="L135" s="46">
        <f>F135-G135+H135-I135-J135-K135</f>
        <v>5283.6706000000004</v>
      </c>
      <c r="M135" s="46"/>
      <c r="N135" s="100"/>
    </row>
    <row r="136" spans="1:15" ht="22.5" customHeight="1">
      <c r="A136" s="29"/>
      <c r="B136" s="29"/>
      <c r="C136" s="42"/>
      <c r="F136" s="109">
        <f t="shared" ref="F136:L136" si="29">+F135</f>
        <v>5769.2250000000004</v>
      </c>
      <c r="G136" s="106">
        <f t="shared" si="29"/>
        <v>485.55440000000004</v>
      </c>
      <c r="H136" s="106">
        <f t="shared" si="29"/>
        <v>0</v>
      </c>
      <c r="I136" s="109">
        <f t="shared" si="29"/>
        <v>0</v>
      </c>
      <c r="J136" s="55">
        <f t="shared" si="29"/>
        <v>0</v>
      </c>
      <c r="K136" s="48">
        <f t="shared" si="29"/>
        <v>0</v>
      </c>
      <c r="L136" s="141">
        <f t="shared" si="29"/>
        <v>5283.6706000000004</v>
      </c>
      <c r="M136" s="44"/>
      <c r="N136" s="20"/>
    </row>
    <row r="137" spans="1:15" ht="18.75" customHeight="1">
      <c r="B137" s="32"/>
      <c r="D137" s="66" t="s">
        <v>434</v>
      </c>
      <c r="E137" s="32"/>
      <c r="F137" s="84"/>
      <c r="G137" s="84"/>
      <c r="K137" s="84"/>
      <c r="L137" s="84"/>
      <c r="M137" s="142"/>
      <c r="N137" s="142"/>
      <c r="O137" s="142"/>
    </row>
    <row r="138" spans="1:15" ht="18.75" customHeight="1">
      <c r="B138" s="32" t="s">
        <v>343</v>
      </c>
      <c r="C138" s="29">
        <v>48</v>
      </c>
      <c r="D138" s="32" t="s">
        <v>118</v>
      </c>
      <c r="E138" t="s">
        <v>435</v>
      </c>
      <c r="F138" s="100">
        <v>8295</v>
      </c>
      <c r="G138" s="100">
        <f>(F138-(LOOKUP(F138,ISR!$A$6:$B$17,ISR!$A$6:$A$17)))*(LOOKUP(F138,ISR!$A$6:$B$17,ISR!$D$6:$D$17))+(LOOKUP(F138,ISR!$A$6:$B$17,ISR!$C$6:$C$17))</f>
        <v>948.75002400000005</v>
      </c>
      <c r="H138" s="100">
        <v>100</v>
      </c>
      <c r="I138" s="99">
        <v>0</v>
      </c>
      <c r="J138" s="100">
        <v>0</v>
      </c>
      <c r="K138" s="100">
        <v>0</v>
      </c>
      <c r="L138" s="100">
        <f>F138-G138+H138-I138-J138-K138</f>
        <v>7446.2499760000001</v>
      </c>
      <c r="M138" s="130"/>
      <c r="N138" s="130"/>
      <c r="O138" s="142"/>
    </row>
    <row r="139" spans="1:15" ht="18.75" customHeight="1">
      <c r="B139" s="32"/>
      <c r="D139" s="32"/>
      <c r="E139" s="32"/>
      <c r="F139" s="84">
        <f t="shared" ref="F139:L139" si="30">+F138</f>
        <v>8295</v>
      </c>
      <c r="G139" s="84">
        <f t="shared" si="30"/>
        <v>948.75002400000005</v>
      </c>
      <c r="H139" s="84">
        <f t="shared" si="30"/>
        <v>100</v>
      </c>
      <c r="I139" s="85">
        <f t="shared" si="30"/>
        <v>0</v>
      </c>
      <c r="J139" s="84">
        <f t="shared" si="30"/>
        <v>0</v>
      </c>
      <c r="K139" s="84">
        <f t="shared" si="30"/>
        <v>0</v>
      </c>
      <c r="L139" s="84">
        <f t="shared" si="30"/>
        <v>7446.2499760000001</v>
      </c>
      <c r="M139" s="142"/>
      <c r="N139" s="142"/>
      <c r="O139" s="142"/>
    </row>
    <row r="140" spans="1:15" ht="18.75" customHeight="1">
      <c r="B140" s="32"/>
      <c r="D140" s="123" t="s">
        <v>50</v>
      </c>
      <c r="E140" s="32"/>
      <c r="F140" s="84"/>
      <c r="G140" s="84"/>
      <c r="K140" s="84"/>
      <c r="L140" s="84"/>
      <c r="M140" s="142"/>
      <c r="N140" s="142"/>
      <c r="O140" s="142"/>
    </row>
    <row r="141" spans="1:15" ht="18.75" customHeight="1">
      <c r="B141" s="32" t="s">
        <v>343</v>
      </c>
      <c r="C141" s="29">
        <v>49</v>
      </c>
      <c r="D141" s="32" t="s">
        <v>118</v>
      </c>
      <c r="E141" t="s">
        <v>436</v>
      </c>
      <c r="F141" s="99">
        <v>5769.2250000000004</v>
      </c>
      <c r="G141" s="100">
        <f>(F141-(LOOKUP(F141,ISR!$A$6:$B$17,ISR!$A$6:$A$17)))*(LOOKUP(F141,ISR!$A$6:$B$17,ISR!$D$6:$D$17))+(LOOKUP(F141,ISR!$A$6:$B$17,ISR!$C$6:$C$17))</f>
        <v>485.55440000000004</v>
      </c>
      <c r="H141" s="101">
        <v>1000</v>
      </c>
      <c r="I141" s="103"/>
      <c r="J141" s="139"/>
      <c r="K141" s="140"/>
      <c r="L141" s="46">
        <f>F141-G141+H141-I141-J141-K141</f>
        <v>6283.6706000000004</v>
      </c>
      <c r="M141" s="130"/>
      <c r="N141" s="142"/>
      <c r="O141" s="142"/>
    </row>
    <row r="142" spans="1:15" s="42" customFormat="1" ht="18.75" customHeight="1">
      <c r="A142" s="29"/>
      <c r="B142" s="123"/>
      <c r="C142" s="29"/>
      <c r="D142" s="123"/>
      <c r="F142" s="109">
        <f>+F141</f>
        <v>5769.2250000000004</v>
      </c>
      <c r="G142" s="106">
        <f>+G141</f>
        <v>485.55440000000004</v>
      </c>
      <c r="H142" s="106">
        <f>+H141</f>
        <v>1000</v>
      </c>
      <c r="I142" s="109"/>
      <c r="J142" s="55"/>
      <c r="K142" s="143"/>
      <c r="L142" s="144">
        <f>+L141</f>
        <v>6283.6706000000004</v>
      </c>
      <c r="M142" s="66"/>
      <c r="N142" s="66"/>
      <c r="O142" s="66"/>
    </row>
    <row r="143" spans="1:15" ht="30" customHeight="1">
      <c r="B143" s="32"/>
      <c r="D143" s="32"/>
      <c r="E143" s="32"/>
      <c r="F143" s="86"/>
      <c r="G143" s="86"/>
      <c r="H143" s="86"/>
      <c r="I143" s="110"/>
      <c r="J143" s="86"/>
      <c r="K143" s="86"/>
      <c r="L143" s="86"/>
      <c r="M143" s="142"/>
      <c r="N143" s="142"/>
      <c r="O143" s="142"/>
    </row>
    <row r="144" spans="1:15" ht="30" customHeight="1">
      <c r="B144" s="32"/>
      <c r="D144" s="66" t="s">
        <v>107</v>
      </c>
      <c r="E144" s="32"/>
      <c r="F144" s="127">
        <f t="shared" ref="F144:L144" si="31">+F11+F22+F29+F32+F35+F38+F43+F47+F50+F58+F61+F64+F67+F70+F74+F77+F80+F88+F91+F94+F97+F100+F103+F106+F109+F115+F118+F121+F124+F127+F130+F133+F136+F139+F142</f>
        <v>464741.08199999947</v>
      </c>
      <c r="G144" s="127">
        <f t="shared" si="31"/>
        <v>62435.477775200023</v>
      </c>
      <c r="H144" s="127">
        <f t="shared" si="31"/>
        <v>9769.7200000000012</v>
      </c>
      <c r="I144" s="127">
        <f t="shared" si="31"/>
        <v>1500</v>
      </c>
      <c r="J144" s="127">
        <f t="shared" si="31"/>
        <v>769.23033333333331</v>
      </c>
      <c r="K144" s="127">
        <f t="shared" si="31"/>
        <v>0</v>
      </c>
      <c r="L144" s="145">
        <f t="shared" si="31"/>
        <v>409806.09389146691</v>
      </c>
      <c r="M144" s="146"/>
      <c r="N144" s="147"/>
      <c r="O144" s="32"/>
    </row>
    <row r="145" spans="2:21" ht="30" customHeight="1">
      <c r="B145" s="32"/>
      <c r="D145" s="128"/>
      <c r="E145" s="32"/>
      <c r="F145" s="129"/>
      <c r="G145" s="130"/>
      <c r="H145" s="131"/>
      <c r="I145" s="131"/>
      <c r="J145" s="131"/>
      <c r="K145" s="130"/>
      <c r="L145" s="142"/>
      <c r="M145" s="147"/>
      <c r="N145" s="32"/>
      <c r="O145" s="32"/>
    </row>
    <row r="146" spans="2:21" ht="30" customHeight="1">
      <c r="B146" s="32"/>
      <c r="D146" s="29" t="s">
        <v>108</v>
      </c>
      <c r="E146" s="42"/>
      <c r="F146" s="29"/>
      <c r="G146" s="29"/>
      <c r="H146" s="42"/>
      <c r="I146" s="29" t="s">
        <v>522</v>
      </c>
      <c r="J146" s="29"/>
      <c r="K146" s="29"/>
      <c r="L146" s="132"/>
      <c r="M146" s="147"/>
      <c r="N146" s="32"/>
      <c r="O146" s="32"/>
      <c r="P146" s="307"/>
      <c r="Q146" s="307"/>
      <c r="R146" s="307"/>
      <c r="S146" s="307"/>
      <c r="T146" s="307"/>
      <c r="U146" s="307"/>
    </row>
    <row r="147" spans="2:21" ht="20.25" customHeight="1">
      <c r="B147" s="32"/>
      <c r="D147" s="29" t="s">
        <v>109</v>
      </c>
      <c r="E147" s="42"/>
      <c r="F147" s="132"/>
      <c r="G147" s="29"/>
      <c r="H147" s="42"/>
      <c r="I147" s="29" t="s">
        <v>519</v>
      </c>
      <c r="J147" s="29"/>
      <c r="K147" s="29"/>
      <c r="L147" s="132"/>
      <c r="M147" s="32"/>
      <c r="N147" s="32"/>
      <c r="O147" s="32"/>
      <c r="P147" s="307"/>
      <c r="Q147" s="307"/>
      <c r="R147" s="307"/>
      <c r="S147" s="307"/>
      <c r="T147" s="307"/>
      <c r="U147" s="307"/>
    </row>
    <row r="148" spans="2:21" ht="30" customHeight="1">
      <c r="B148" s="32"/>
      <c r="L148" s="35">
        <f>F144-G144+H144-I144-J144-K144</f>
        <v>409806.09389146609</v>
      </c>
      <c r="M148" s="147"/>
      <c r="N148" s="32"/>
      <c r="O148" s="32"/>
    </row>
    <row r="149" spans="2:21">
      <c r="L149" s="20"/>
      <c r="M149" s="56"/>
      <c r="O149" s="56"/>
    </row>
    <row r="150" spans="2:21">
      <c r="L150" s="84"/>
    </row>
    <row r="151" spans="2:21">
      <c r="G151" s="20"/>
    </row>
    <row r="152" spans="2:21">
      <c r="G152" s="20"/>
      <c r="L152" s="56"/>
    </row>
    <row r="153" spans="2:21">
      <c r="L153" s="35"/>
      <c r="O153" s="56"/>
    </row>
    <row r="154" spans="2:21">
      <c r="L154" s="56"/>
    </row>
    <row r="155" spans="2:21">
      <c r="G155" s="20"/>
      <c r="L155" s="56"/>
    </row>
    <row r="156" spans="2:21">
      <c r="G156" s="20"/>
      <c r="L156" s="56"/>
    </row>
    <row r="157" spans="2:21">
      <c r="B157" s="32"/>
      <c r="D157" s="66"/>
      <c r="E157" s="32"/>
      <c r="F157" s="133"/>
      <c r="G157" s="133"/>
      <c r="H157" s="134"/>
      <c r="I157" s="135"/>
      <c r="J157" s="134"/>
      <c r="K157" s="133"/>
      <c r="L157" s="133"/>
      <c r="M157" s="142"/>
      <c r="N157" s="142"/>
      <c r="O157" s="142"/>
    </row>
    <row r="158" spans="2:21">
      <c r="B158" s="32"/>
      <c r="D158" s="32"/>
      <c r="E158" s="32"/>
      <c r="F158" s="133"/>
      <c r="G158" s="133"/>
      <c r="H158" s="135"/>
      <c r="I158" s="135"/>
      <c r="J158" s="134"/>
      <c r="K158" s="133"/>
      <c r="L158" s="133"/>
      <c r="M158" s="142"/>
      <c r="N158" s="142"/>
      <c r="O158" s="142"/>
    </row>
    <row r="159" spans="2:21">
      <c r="B159" s="32"/>
      <c r="D159" s="32"/>
      <c r="E159" s="32"/>
      <c r="F159" s="134"/>
      <c r="G159" s="134"/>
      <c r="H159" s="134"/>
      <c r="I159" s="135"/>
      <c r="J159" s="134"/>
      <c r="K159" s="134"/>
      <c r="L159" s="134"/>
      <c r="M159" s="32"/>
      <c r="N159" s="32"/>
      <c r="O159" s="32"/>
    </row>
    <row r="160" spans="2:21">
      <c r="H160" s="106"/>
      <c r="I160" s="109"/>
      <c r="J160" s="106"/>
      <c r="K160" s="105"/>
    </row>
    <row r="161" spans="2:15">
      <c r="H161" s="106"/>
      <c r="I161" s="109"/>
      <c r="J161" s="106"/>
      <c r="K161" s="105"/>
    </row>
    <row r="162" spans="2:15">
      <c r="B162" s="32"/>
      <c r="D162" s="32"/>
      <c r="E162" s="32"/>
      <c r="F162" s="32"/>
      <c r="G162" s="32"/>
      <c r="H162" s="86"/>
      <c r="I162" s="110"/>
      <c r="J162" s="86"/>
      <c r="K162" s="111"/>
      <c r="L162" s="32"/>
      <c r="M162" s="32"/>
      <c r="N162" s="32"/>
      <c r="O162" s="32"/>
    </row>
    <row r="163" spans="2:15" ht="30" customHeight="1">
      <c r="B163" s="32"/>
      <c r="D163" s="32"/>
      <c r="E163" s="32"/>
      <c r="F163" s="136"/>
      <c r="G163" s="133"/>
      <c r="H163" s="134"/>
      <c r="I163" s="135"/>
      <c r="J163" s="134"/>
      <c r="K163" s="133"/>
      <c r="L163" s="133"/>
      <c r="M163" s="32"/>
      <c r="N163" s="32"/>
      <c r="O163" s="32"/>
    </row>
    <row r="164" spans="2:15" ht="30" customHeight="1">
      <c r="H164" s="106"/>
      <c r="I164" s="109"/>
      <c r="J164" s="106"/>
      <c r="K164" s="105"/>
    </row>
    <row r="165" spans="2:15">
      <c r="H165" s="106"/>
      <c r="I165" s="109"/>
      <c r="J165" s="106"/>
      <c r="K165" s="105"/>
    </row>
    <row r="166" spans="2:15">
      <c r="H166" s="106"/>
      <c r="I166" s="109"/>
      <c r="J166" s="106"/>
      <c r="K166" s="105"/>
    </row>
    <row r="167" spans="2:15">
      <c r="H167" s="106"/>
      <c r="I167" s="109"/>
      <c r="J167" s="106"/>
      <c r="K167" s="105"/>
    </row>
    <row r="168" spans="2:15">
      <c r="B168" s="32"/>
      <c r="D168" s="32"/>
      <c r="E168" s="32"/>
      <c r="F168" s="136"/>
      <c r="G168" s="133"/>
      <c r="H168" s="134"/>
      <c r="I168" s="135"/>
      <c r="J168" s="134"/>
      <c r="K168" s="133"/>
      <c r="L168" s="133"/>
      <c r="M168" s="32"/>
      <c r="N168" s="32"/>
      <c r="O168" s="32"/>
    </row>
    <row r="169" spans="2:15">
      <c r="H169" s="106"/>
      <c r="I169" s="109"/>
      <c r="J169" s="106"/>
      <c r="K169" s="105"/>
    </row>
    <row r="170" spans="2:15" ht="30" customHeight="1">
      <c r="H170" s="106"/>
      <c r="I170" s="109"/>
      <c r="J170" s="106"/>
      <c r="K170" s="105"/>
    </row>
    <row r="171" spans="2:15" ht="30" customHeight="1">
      <c r="B171" s="32"/>
      <c r="D171" s="32"/>
      <c r="E171" s="32"/>
      <c r="F171" s="136"/>
      <c r="G171" s="133"/>
      <c r="H171" s="134"/>
      <c r="I171" s="135"/>
      <c r="J171" s="134"/>
      <c r="K171" s="133"/>
      <c r="L171" s="133"/>
      <c r="M171" s="32"/>
      <c r="N171" s="32"/>
      <c r="O171" s="32"/>
    </row>
    <row r="172" spans="2:15">
      <c r="H172" s="106"/>
      <c r="I172" s="109"/>
      <c r="J172" s="106"/>
      <c r="K172" s="105"/>
    </row>
    <row r="173" spans="2:15">
      <c r="H173" s="106"/>
      <c r="I173" s="109"/>
      <c r="J173" s="106"/>
      <c r="K173" s="105"/>
    </row>
    <row r="174" spans="2:15">
      <c r="H174" s="106"/>
      <c r="I174" s="109"/>
      <c r="J174" s="106"/>
      <c r="K174" s="105"/>
    </row>
    <row r="175" spans="2:15">
      <c r="H175" s="106"/>
      <c r="I175" s="109"/>
      <c r="J175" s="106"/>
      <c r="K175" s="105"/>
    </row>
    <row r="176" spans="2:15" ht="30" customHeight="1">
      <c r="H176" s="106"/>
      <c r="I176" s="109"/>
      <c r="J176" s="106"/>
      <c r="K176" s="105"/>
    </row>
    <row r="177" spans="2:16">
      <c r="B177" s="32"/>
      <c r="D177" s="66"/>
      <c r="E177" s="32"/>
      <c r="F177" s="136"/>
      <c r="G177" s="133"/>
      <c r="H177" s="134"/>
      <c r="I177" s="135"/>
      <c r="J177" s="134"/>
      <c r="K177" s="133"/>
      <c r="L177" s="133"/>
      <c r="M177" s="32"/>
      <c r="N177" s="32"/>
      <c r="O177" s="32"/>
    </row>
    <row r="178" spans="2:16">
      <c r="B178" s="32"/>
      <c r="D178" s="32"/>
      <c r="E178" s="32"/>
      <c r="G178" s="32"/>
      <c r="H178" s="123"/>
      <c r="I178" s="123"/>
      <c r="J178" s="134"/>
      <c r="K178" s="133"/>
      <c r="L178" s="133"/>
      <c r="M178" s="142"/>
      <c r="N178" s="142"/>
      <c r="O178" s="142"/>
    </row>
    <row r="179" spans="2:16" ht="30" customHeight="1">
      <c r="B179" s="32"/>
      <c r="D179" s="32"/>
      <c r="E179" s="32"/>
      <c r="G179" s="32"/>
      <c r="H179" s="123"/>
      <c r="I179" s="123"/>
      <c r="J179" s="134"/>
      <c r="K179" s="134"/>
      <c r="L179" s="134"/>
      <c r="M179" s="142"/>
      <c r="N179" s="142"/>
      <c r="O179" s="142"/>
    </row>
    <row r="180" spans="2:16">
      <c r="H180" s="42"/>
      <c r="I180" s="42"/>
      <c r="J180" s="106"/>
      <c r="K180" s="105"/>
    </row>
    <row r="181" spans="2:16">
      <c r="B181" s="32"/>
      <c r="D181" s="32"/>
      <c r="E181" s="32"/>
      <c r="G181" s="32"/>
      <c r="H181" s="123"/>
      <c r="I181" s="123"/>
      <c r="J181" s="134"/>
      <c r="K181" s="133"/>
      <c r="L181" s="133"/>
      <c r="M181" s="32"/>
      <c r="N181" s="32"/>
      <c r="O181" s="32"/>
    </row>
    <row r="182" spans="2:16">
      <c r="H182" s="42"/>
      <c r="I182" s="42"/>
      <c r="J182" s="106"/>
      <c r="K182" s="105"/>
    </row>
    <row r="183" spans="2:16">
      <c r="H183" s="42"/>
      <c r="I183" s="42"/>
      <c r="J183" s="106"/>
      <c r="K183" s="105"/>
    </row>
    <row r="184" spans="2:16">
      <c r="B184" s="32"/>
      <c r="D184" s="32"/>
      <c r="E184" s="32"/>
      <c r="G184" s="32"/>
      <c r="H184" s="123"/>
      <c r="I184" s="123"/>
      <c r="J184" s="134"/>
      <c r="K184" s="133"/>
      <c r="L184" s="133"/>
      <c r="M184" s="32"/>
      <c r="N184" s="32"/>
      <c r="O184" s="32"/>
    </row>
    <row r="185" spans="2:16" ht="15" customHeight="1">
      <c r="H185" s="42"/>
      <c r="I185" s="42"/>
      <c r="J185" s="106"/>
      <c r="K185" s="105"/>
    </row>
    <row r="186" spans="2:16" ht="30" customHeight="1">
      <c r="H186" s="42"/>
      <c r="I186" s="42"/>
      <c r="J186" s="106"/>
      <c r="K186" s="105"/>
    </row>
    <row r="187" spans="2:16" ht="30" customHeight="1">
      <c r="B187" s="32"/>
      <c r="D187" s="66"/>
      <c r="E187" s="32"/>
      <c r="G187" s="32"/>
      <c r="H187" s="66"/>
      <c r="I187" s="123"/>
      <c r="J187" s="134"/>
      <c r="K187" s="133"/>
      <c r="L187" s="133"/>
      <c r="M187" s="32"/>
      <c r="N187" s="32"/>
      <c r="O187" s="32"/>
    </row>
    <row r="188" spans="2:16">
      <c r="B188" s="32"/>
      <c r="D188" s="32"/>
      <c r="E188" s="32"/>
      <c r="G188" s="32"/>
      <c r="H188" s="123"/>
      <c r="I188" s="123"/>
      <c r="J188" s="134"/>
      <c r="K188" s="133"/>
      <c r="L188" s="136"/>
      <c r="M188" s="32"/>
      <c r="N188" s="32"/>
      <c r="O188" s="32"/>
    </row>
    <row r="189" spans="2:16" ht="30" customHeight="1">
      <c r="H189" s="42"/>
      <c r="I189" s="42"/>
      <c r="J189" s="106"/>
      <c r="K189" s="105"/>
      <c r="P189" s="39"/>
    </row>
    <row r="190" spans="2:16">
      <c r="H190" s="42"/>
      <c r="I190" s="42"/>
      <c r="J190" s="106"/>
      <c r="K190" s="105"/>
    </row>
    <row r="191" spans="2:16">
      <c r="B191" s="32"/>
      <c r="D191" s="66"/>
      <c r="E191" s="32"/>
      <c r="G191" s="32"/>
      <c r="H191" s="66"/>
      <c r="I191" s="123"/>
      <c r="J191" s="134"/>
      <c r="K191" s="133"/>
      <c r="L191" s="133"/>
      <c r="M191" s="142"/>
      <c r="N191" s="142"/>
      <c r="O191" s="142"/>
    </row>
    <row r="192" spans="2:16" ht="30" customHeight="1">
      <c r="B192" s="32"/>
      <c r="D192" s="32"/>
      <c r="E192" s="32"/>
      <c r="G192" s="32"/>
      <c r="H192" s="123"/>
      <c r="I192" s="123"/>
      <c r="J192" s="134"/>
      <c r="K192" s="133"/>
      <c r="L192" s="133"/>
      <c r="M192" s="32"/>
      <c r="N192" s="32"/>
      <c r="O192" s="32"/>
    </row>
    <row r="193" spans="2:15">
      <c r="B193" s="32"/>
      <c r="D193" s="32"/>
      <c r="E193" s="32"/>
      <c r="G193" s="32"/>
      <c r="H193" s="123"/>
      <c r="I193" s="123"/>
      <c r="J193" s="134"/>
      <c r="K193" s="134"/>
      <c r="L193" s="134"/>
      <c r="M193" s="32"/>
      <c r="N193" s="32"/>
      <c r="O193" s="32"/>
    </row>
    <row r="194" spans="2:15">
      <c r="H194" s="42"/>
      <c r="I194" s="42"/>
      <c r="J194" s="106"/>
      <c r="K194" s="105"/>
    </row>
    <row r="195" spans="2:15">
      <c r="B195" s="32"/>
      <c r="D195" s="66"/>
      <c r="E195" s="32"/>
      <c r="G195" s="32"/>
      <c r="H195" s="66"/>
      <c r="I195" s="123"/>
      <c r="J195" s="134"/>
      <c r="K195" s="133"/>
      <c r="L195" s="133"/>
      <c r="M195" s="32"/>
      <c r="N195" s="32"/>
      <c r="O195" s="32"/>
    </row>
    <row r="196" spans="2:15">
      <c r="B196" s="32"/>
      <c r="D196" s="32"/>
      <c r="E196" s="32"/>
      <c r="G196" s="32"/>
      <c r="H196" s="123"/>
      <c r="I196" s="123"/>
      <c r="J196" s="134"/>
      <c r="K196" s="133"/>
      <c r="L196" s="133"/>
      <c r="M196" s="32"/>
      <c r="N196" s="32"/>
      <c r="O196" s="32"/>
    </row>
    <row r="197" spans="2:15">
      <c r="B197" s="32"/>
      <c r="D197" s="32"/>
      <c r="E197" s="32"/>
      <c r="G197" s="32"/>
      <c r="H197" s="123"/>
      <c r="I197" s="123"/>
      <c r="J197" s="134"/>
      <c r="K197" s="134"/>
      <c r="L197" s="134"/>
      <c r="M197" s="142"/>
      <c r="N197" s="142"/>
      <c r="O197" s="142"/>
    </row>
    <row r="198" spans="2:15">
      <c r="B198" s="32"/>
      <c r="D198" s="66"/>
      <c r="E198" s="32"/>
      <c r="G198" s="32"/>
      <c r="H198" s="66"/>
      <c r="I198" s="123"/>
      <c r="J198" s="134"/>
      <c r="K198" s="133"/>
      <c r="L198" s="133"/>
      <c r="M198" s="142"/>
      <c r="N198" s="142"/>
      <c r="O198" s="142"/>
    </row>
    <row r="199" spans="2:15" ht="15" customHeight="1">
      <c r="B199" s="32"/>
      <c r="D199" s="32"/>
      <c r="E199" s="32"/>
      <c r="G199" s="32"/>
      <c r="H199" s="123"/>
      <c r="I199" s="123"/>
      <c r="J199" s="134"/>
      <c r="K199" s="133"/>
      <c r="L199" s="133"/>
      <c r="M199" s="32"/>
      <c r="N199" s="32"/>
      <c r="O199" s="32"/>
    </row>
    <row r="200" spans="2:15" ht="30" customHeight="1">
      <c r="B200" s="32"/>
      <c r="D200" s="32"/>
      <c r="E200" s="32"/>
      <c r="G200" s="32"/>
      <c r="H200" s="123"/>
      <c r="I200" s="123"/>
      <c r="J200" s="134"/>
      <c r="K200" s="134"/>
      <c r="L200" s="134"/>
      <c r="M200" s="32"/>
      <c r="N200" s="32"/>
      <c r="O200" s="32"/>
    </row>
    <row r="201" spans="2:15" ht="30" customHeight="1">
      <c r="H201" s="42"/>
      <c r="I201" s="42"/>
      <c r="J201" s="106"/>
      <c r="K201" s="105"/>
    </row>
    <row r="202" spans="2:15">
      <c r="B202" s="32"/>
      <c r="D202" s="66"/>
      <c r="E202" s="32"/>
      <c r="G202" s="32"/>
      <c r="H202" s="66"/>
      <c r="I202" s="123"/>
      <c r="J202" s="134"/>
      <c r="K202" s="133"/>
      <c r="L202" s="133"/>
      <c r="M202" s="32"/>
      <c r="N202" s="32"/>
      <c r="O202" s="32"/>
    </row>
    <row r="203" spans="2:15" ht="30" customHeight="1">
      <c r="B203" s="32"/>
      <c r="D203" s="32"/>
      <c r="E203" s="32"/>
      <c r="G203" s="32"/>
      <c r="H203" s="123"/>
      <c r="I203" s="123"/>
      <c r="J203" s="134"/>
      <c r="K203" s="133"/>
      <c r="L203" s="133"/>
      <c r="M203" s="142"/>
      <c r="N203" s="142"/>
      <c r="O203" s="142"/>
    </row>
    <row r="204" spans="2:15" ht="30" customHeight="1">
      <c r="B204" s="32"/>
      <c r="D204" s="32"/>
      <c r="E204" s="32"/>
      <c r="G204" s="32"/>
      <c r="H204" s="123"/>
      <c r="I204" s="123"/>
      <c r="J204" s="134"/>
      <c r="K204" s="134"/>
      <c r="L204" s="134"/>
      <c r="M204" s="142"/>
      <c r="N204" s="142"/>
      <c r="O204" s="142"/>
    </row>
    <row r="205" spans="2:15" ht="30" customHeight="1">
      <c r="H205" s="42"/>
      <c r="I205" s="42"/>
      <c r="J205" s="106"/>
      <c r="K205" s="105"/>
    </row>
    <row r="206" spans="2:15" ht="15" customHeight="1">
      <c r="H206" s="42"/>
      <c r="I206" s="42"/>
      <c r="J206" s="106"/>
      <c r="K206" s="105"/>
    </row>
    <row r="207" spans="2:15" ht="30" customHeight="1">
      <c r="H207" s="42"/>
      <c r="I207" s="42"/>
      <c r="J207" s="106"/>
      <c r="K207" s="105"/>
    </row>
    <row r="208" spans="2:15" ht="30" customHeight="1">
      <c r="H208" s="42"/>
      <c r="I208" s="42"/>
      <c r="J208" s="106"/>
      <c r="K208" s="105"/>
    </row>
    <row r="209" spans="2:15">
      <c r="H209" s="42"/>
      <c r="I209" s="42"/>
      <c r="J209" s="106"/>
      <c r="K209" s="105"/>
    </row>
    <row r="210" spans="2:15" ht="15" customHeight="1">
      <c r="H210" s="42"/>
      <c r="I210" s="42"/>
      <c r="J210" s="106"/>
      <c r="K210" s="105"/>
    </row>
    <row r="211" spans="2:15" ht="30" customHeight="1">
      <c r="B211" s="32"/>
      <c r="D211" s="32"/>
      <c r="E211" s="32"/>
      <c r="G211" s="32"/>
      <c r="H211" s="123"/>
      <c r="I211" s="123"/>
      <c r="J211" s="134"/>
      <c r="K211" s="133"/>
      <c r="L211" s="133"/>
      <c r="M211" s="32"/>
      <c r="N211" s="32"/>
      <c r="O211" s="32"/>
    </row>
    <row r="212" spans="2:15" ht="30" customHeight="1">
      <c r="H212" s="42"/>
      <c r="I212" s="42"/>
      <c r="J212" s="106"/>
      <c r="K212" s="105"/>
    </row>
    <row r="213" spans="2:15">
      <c r="B213" s="32"/>
      <c r="D213" s="32"/>
      <c r="E213" s="32"/>
      <c r="G213" s="32"/>
      <c r="H213" s="123"/>
      <c r="I213" s="123"/>
      <c r="J213" s="134"/>
      <c r="K213" s="133"/>
      <c r="L213" s="133"/>
    </row>
    <row r="214" spans="2:15">
      <c r="H214" s="42"/>
      <c r="I214" s="42"/>
      <c r="J214" s="106"/>
      <c r="K214" s="105"/>
    </row>
    <row r="215" spans="2:15">
      <c r="H215" s="42"/>
      <c r="I215" s="42"/>
      <c r="J215" s="106"/>
      <c r="K215" s="105"/>
    </row>
    <row r="216" spans="2:15">
      <c r="B216" s="32"/>
      <c r="D216" s="66"/>
      <c r="E216" s="32"/>
      <c r="G216" s="32"/>
      <c r="H216" s="66"/>
      <c r="I216" s="123"/>
      <c r="J216" s="134"/>
      <c r="K216" s="133"/>
      <c r="L216" s="133"/>
      <c r="M216" s="142"/>
      <c r="N216" s="142"/>
      <c r="O216" s="142"/>
    </row>
    <row r="217" spans="2:15">
      <c r="B217" s="32"/>
      <c r="D217" s="32"/>
      <c r="E217" s="32"/>
      <c r="G217" s="32"/>
      <c r="H217" s="123"/>
      <c r="I217" s="123"/>
      <c r="J217" s="134"/>
      <c r="K217" s="133"/>
      <c r="L217" s="133"/>
      <c r="M217" s="32"/>
      <c r="N217" s="32"/>
      <c r="O217" s="32"/>
    </row>
    <row r="218" spans="2:15">
      <c r="B218" s="32"/>
      <c r="D218" s="32"/>
      <c r="E218" s="32"/>
      <c r="G218" s="32"/>
      <c r="H218" s="123"/>
      <c r="I218" s="123"/>
      <c r="J218" s="134"/>
      <c r="K218" s="134"/>
      <c r="L218" s="134"/>
      <c r="M218" s="142"/>
      <c r="N218" s="142"/>
      <c r="O218" s="142"/>
    </row>
    <row r="219" spans="2:15" ht="30" customHeight="1">
      <c r="B219" s="32"/>
      <c r="D219" s="32"/>
      <c r="E219" s="32"/>
      <c r="G219" s="32"/>
      <c r="H219" s="123"/>
      <c r="I219" s="123"/>
      <c r="J219" s="134"/>
      <c r="K219" s="133"/>
      <c r="L219" s="148"/>
      <c r="M219" s="32"/>
      <c r="N219" s="32"/>
      <c r="O219" s="32"/>
    </row>
    <row r="220" spans="2:15">
      <c r="H220" s="42"/>
      <c r="I220" s="42"/>
      <c r="J220" s="106"/>
      <c r="K220" s="105"/>
    </row>
    <row r="221" spans="2:15">
      <c r="H221" s="42"/>
      <c r="I221" s="42"/>
      <c r="J221" s="106"/>
      <c r="K221" s="105"/>
    </row>
    <row r="222" spans="2:15">
      <c r="B222" s="32"/>
      <c r="D222" s="32"/>
      <c r="E222" s="32"/>
      <c r="G222" s="32"/>
      <c r="H222" s="123"/>
      <c r="I222" s="123"/>
      <c r="J222" s="134"/>
      <c r="K222" s="133"/>
      <c r="L222" s="133"/>
      <c r="M222" s="32"/>
      <c r="N222" s="32"/>
      <c r="O222" s="32"/>
    </row>
    <row r="223" spans="2:15">
      <c r="H223" s="42"/>
      <c r="I223" s="42"/>
      <c r="J223" s="106"/>
      <c r="K223" s="105"/>
    </row>
    <row r="224" spans="2:15" ht="15" customHeight="1">
      <c r="B224" s="32"/>
      <c r="D224" s="66"/>
      <c r="E224" s="32"/>
      <c r="G224" s="32"/>
      <c r="H224" s="66"/>
      <c r="I224" s="123"/>
      <c r="J224" s="134"/>
      <c r="K224" s="133"/>
      <c r="L224" s="133"/>
      <c r="M224" s="32"/>
      <c r="N224" s="32"/>
      <c r="O224" s="32"/>
    </row>
    <row r="225" spans="2:15" ht="30" customHeight="1">
      <c r="B225" s="32"/>
      <c r="D225" s="32"/>
      <c r="E225" s="32"/>
      <c r="G225" s="32"/>
      <c r="H225" s="123"/>
      <c r="I225" s="123"/>
      <c r="J225" s="134"/>
      <c r="K225" s="133"/>
      <c r="L225" s="133"/>
      <c r="M225" s="32"/>
      <c r="N225" s="32"/>
      <c r="O225" s="32"/>
    </row>
    <row r="226" spans="2:15" ht="30" customHeight="1">
      <c r="B226" s="32"/>
      <c r="D226" s="32"/>
      <c r="E226" s="32"/>
      <c r="G226" s="32"/>
      <c r="H226" s="123"/>
      <c r="I226" s="123"/>
      <c r="J226" s="134"/>
      <c r="K226" s="134"/>
      <c r="L226" s="134"/>
      <c r="M226" s="32"/>
      <c r="N226" s="32"/>
      <c r="O226" s="32"/>
    </row>
    <row r="227" spans="2:15" ht="30" customHeight="1">
      <c r="H227" s="42"/>
      <c r="I227" s="42"/>
      <c r="J227" s="106"/>
      <c r="K227" s="105"/>
    </row>
    <row r="228" spans="2:15">
      <c r="H228" s="42"/>
      <c r="I228" s="42"/>
      <c r="J228" s="106"/>
      <c r="K228" s="105"/>
    </row>
    <row r="229" spans="2:15">
      <c r="H229" s="42"/>
      <c r="I229" s="42"/>
      <c r="J229" s="106"/>
      <c r="K229" s="105"/>
    </row>
    <row r="230" spans="2:15" ht="30" customHeight="1">
      <c r="H230" s="42"/>
      <c r="I230" s="42"/>
      <c r="J230" s="106"/>
      <c r="K230" s="105"/>
    </row>
    <row r="231" spans="2:15">
      <c r="H231" s="42"/>
      <c r="I231" s="42"/>
      <c r="J231" s="106"/>
      <c r="K231" s="105"/>
    </row>
    <row r="232" spans="2:15" ht="15" customHeight="1">
      <c r="H232" s="106"/>
      <c r="I232" s="109"/>
      <c r="J232" s="106"/>
      <c r="K232" s="105"/>
    </row>
    <row r="233" spans="2:15" ht="30" customHeight="1">
      <c r="H233" s="106"/>
      <c r="I233" s="109"/>
      <c r="J233" s="106"/>
      <c r="K233" s="105"/>
    </row>
    <row r="234" spans="2:15" ht="30" customHeight="1">
      <c r="H234" s="106"/>
      <c r="I234" s="109"/>
      <c r="J234" s="106"/>
      <c r="K234" s="105"/>
    </row>
    <row r="235" spans="2:15">
      <c r="H235" s="106"/>
      <c r="I235" s="109"/>
      <c r="J235" s="106"/>
      <c r="K235" s="105"/>
    </row>
    <row r="236" spans="2:15">
      <c r="H236" s="106"/>
      <c r="I236" s="109"/>
      <c r="J236" s="106"/>
      <c r="K236" s="105"/>
    </row>
  </sheetData>
  <mergeCells count="7">
    <mergeCell ref="P146:U146"/>
    <mergeCell ref="P147:U147"/>
    <mergeCell ref="K5:L5"/>
    <mergeCell ref="K24:L24"/>
    <mergeCell ref="K54:L54"/>
    <mergeCell ref="K84:L84"/>
    <mergeCell ref="K111:L111"/>
  </mergeCells>
  <pageMargins left="0.74803149606299213" right="0.51181102362204722" top="0.55118110236220474" bottom="0.62992125984251968" header="0.39370078740157483" footer="0.31496062992125984"/>
  <pageSetup paperSize="5" scale="65" orientation="landscape" r:id="rId1"/>
  <headerFooter>
    <oddFooter>&amp;CNomina Confianza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>
    <tabColor theme="9"/>
    <pageSetUpPr fitToPage="1"/>
  </sheetPr>
  <dimension ref="D1:N61"/>
  <sheetViews>
    <sheetView tabSelected="1" topLeftCell="A13" zoomScale="70" zoomScaleNormal="70" workbookViewId="0">
      <selection activeCell="D1" sqref="D1:L43"/>
    </sheetView>
  </sheetViews>
  <sheetFormatPr baseColWidth="10" defaultColWidth="11.42578125" defaultRowHeight="15"/>
  <cols>
    <col min="2" max="3" width="3.140625" customWidth="1"/>
    <col min="4" max="4" width="30.7109375" customWidth="1"/>
    <col min="5" max="5" width="20.28515625" hidden="1" customWidth="1"/>
    <col min="6" max="6" width="12.28515625" style="29" customWidth="1"/>
    <col min="7" max="7" width="52.42578125" customWidth="1"/>
    <col min="8" max="8" width="35.85546875" customWidth="1"/>
    <col min="9" max="9" width="35.140625" customWidth="1"/>
    <col min="10" max="10" width="21.28515625" customWidth="1"/>
    <col min="11" max="11" width="88.140625" customWidth="1"/>
  </cols>
  <sheetData>
    <row r="1" spans="4:12" ht="21">
      <c r="D1" s="309" t="s">
        <v>437</v>
      </c>
      <c r="E1" s="309"/>
      <c r="F1" s="309"/>
      <c r="G1" s="309"/>
      <c r="H1" s="309"/>
      <c r="I1" s="309"/>
      <c r="J1" s="309"/>
      <c r="K1" s="309"/>
      <c r="L1" s="11"/>
    </row>
    <row r="2" spans="4:12" ht="21">
      <c r="D2" s="309" t="s">
        <v>438</v>
      </c>
      <c r="E2" s="309"/>
      <c r="F2" s="309"/>
      <c r="G2" s="309"/>
      <c r="H2" s="309"/>
      <c r="I2" s="309"/>
      <c r="J2" s="309"/>
      <c r="K2" s="309"/>
      <c r="L2" s="11"/>
    </row>
    <row r="3" spans="4:12" ht="21">
      <c r="D3" s="309" t="s">
        <v>531</v>
      </c>
      <c r="E3" s="309"/>
      <c r="F3" s="309"/>
      <c r="G3" s="309"/>
      <c r="H3" s="309"/>
      <c r="I3" s="309"/>
      <c r="J3" s="309"/>
      <c r="K3" s="309"/>
      <c r="L3" s="11"/>
    </row>
    <row r="4" spans="4:12" ht="21">
      <c r="D4" s="1"/>
      <c r="E4" s="1"/>
      <c r="F4" s="1"/>
      <c r="G4" s="1"/>
      <c r="H4" s="1"/>
      <c r="I4" s="1"/>
      <c r="J4" s="1"/>
      <c r="K4" s="80" t="s">
        <v>439</v>
      </c>
      <c r="L4" s="11"/>
    </row>
    <row r="5" spans="4:12" ht="40.5" customHeight="1">
      <c r="D5" s="2" t="s">
        <v>3</v>
      </c>
      <c r="E5" s="3" t="s">
        <v>440</v>
      </c>
      <c r="F5" s="3"/>
      <c r="G5" s="2" t="s">
        <v>441</v>
      </c>
      <c r="H5" s="2" t="s">
        <v>8</v>
      </c>
      <c r="I5" s="2" t="s">
        <v>442</v>
      </c>
      <c r="J5" s="2" t="s">
        <v>9</v>
      </c>
      <c r="K5" s="2" t="s">
        <v>443</v>
      </c>
      <c r="L5" s="11"/>
    </row>
    <row r="6" spans="4:12" ht="21">
      <c r="D6" s="2"/>
      <c r="E6" s="3"/>
      <c r="F6" s="3"/>
      <c r="G6" s="2"/>
      <c r="H6" s="2"/>
      <c r="I6" s="2"/>
      <c r="J6" s="2"/>
      <c r="K6" s="2"/>
      <c r="L6" s="11"/>
    </row>
    <row r="7" spans="4:12" ht="21">
      <c r="D7" s="2"/>
      <c r="E7" s="3"/>
      <c r="F7" s="3"/>
      <c r="G7" s="2"/>
      <c r="H7" s="2"/>
      <c r="I7" s="2"/>
      <c r="J7" s="2"/>
      <c r="K7" s="2"/>
      <c r="L7" s="11"/>
    </row>
    <row r="8" spans="4:12" ht="21">
      <c r="D8" s="6"/>
      <c r="E8" s="6"/>
      <c r="F8" s="78"/>
      <c r="G8" s="6"/>
      <c r="H8" s="6"/>
      <c r="I8" s="6"/>
      <c r="J8" s="6"/>
      <c r="K8" s="6"/>
      <c r="L8" s="11"/>
    </row>
    <row r="9" spans="4:12" ht="24.75" customHeight="1">
      <c r="D9" s="8" t="s">
        <v>444</v>
      </c>
      <c r="E9" s="9">
        <v>40238</v>
      </c>
      <c r="F9" s="1">
        <v>1</v>
      </c>
      <c r="G9" s="11" t="s">
        <v>445</v>
      </c>
      <c r="H9" s="11" t="s">
        <v>446</v>
      </c>
      <c r="I9" s="11" t="s">
        <v>447</v>
      </c>
      <c r="J9" s="13">
        <v>1247</v>
      </c>
      <c r="K9" s="15"/>
      <c r="L9" s="11"/>
    </row>
    <row r="10" spans="4:12" ht="21">
      <c r="D10" s="6"/>
      <c r="E10" s="6"/>
      <c r="F10" s="78"/>
      <c r="G10" s="6"/>
      <c r="H10" s="6"/>
      <c r="I10" s="6"/>
      <c r="J10" s="6"/>
      <c r="K10" s="6"/>
      <c r="L10" s="11"/>
    </row>
    <row r="11" spans="4:12" ht="38.25" customHeight="1">
      <c r="D11" s="8" t="s">
        <v>444</v>
      </c>
      <c r="E11" s="9">
        <v>40179</v>
      </c>
      <c r="F11" s="1">
        <v>2</v>
      </c>
      <c r="G11" s="11" t="s">
        <v>448</v>
      </c>
      <c r="H11" s="11" t="s">
        <v>446</v>
      </c>
      <c r="I11" s="11" t="s">
        <v>449</v>
      </c>
      <c r="J11" s="13">
        <v>1247</v>
      </c>
      <c r="K11" s="15"/>
      <c r="L11" s="11"/>
    </row>
    <row r="12" spans="4:12" ht="21">
      <c r="D12" s="6"/>
      <c r="E12" s="6"/>
      <c r="F12" s="78"/>
      <c r="G12" s="6"/>
      <c r="H12" s="6"/>
      <c r="I12" s="6"/>
      <c r="J12" s="6"/>
      <c r="K12" s="6"/>
      <c r="L12" s="11"/>
    </row>
    <row r="13" spans="4:12" ht="24.75" customHeight="1">
      <c r="D13" s="8" t="s">
        <v>444</v>
      </c>
      <c r="E13" s="9">
        <v>40360</v>
      </c>
      <c r="F13" s="1">
        <v>3</v>
      </c>
      <c r="G13" s="11" t="s">
        <v>450</v>
      </c>
      <c r="H13" s="11" t="s">
        <v>446</v>
      </c>
      <c r="I13" s="11" t="s">
        <v>451</v>
      </c>
      <c r="J13" s="13">
        <v>1247</v>
      </c>
      <c r="K13" s="15"/>
      <c r="L13" s="11"/>
    </row>
    <row r="14" spans="4:12" ht="21">
      <c r="D14" s="6"/>
      <c r="E14" s="6"/>
      <c r="F14" s="78"/>
      <c r="G14" s="6"/>
      <c r="H14" s="6"/>
      <c r="I14" s="6"/>
      <c r="J14" s="6"/>
      <c r="K14" s="6"/>
      <c r="L14" s="11"/>
    </row>
    <row r="15" spans="4:12" ht="21.75" customHeight="1">
      <c r="D15" s="8" t="s">
        <v>444</v>
      </c>
      <c r="E15" s="9"/>
      <c r="F15" s="1">
        <v>4</v>
      </c>
      <c r="G15" s="11" t="s">
        <v>452</v>
      </c>
      <c r="H15" s="11" t="s">
        <v>446</v>
      </c>
      <c r="I15" s="11" t="s">
        <v>453</v>
      </c>
      <c r="J15" s="13">
        <v>1247</v>
      </c>
      <c r="K15" s="15"/>
      <c r="L15" s="11"/>
    </row>
    <row r="16" spans="4:12" ht="21">
      <c r="D16" s="6"/>
      <c r="E16" s="6"/>
      <c r="F16" s="78"/>
      <c r="G16" s="6"/>
      <c r="H16" s="6"/>
      <c r="I16" s="6"/>
      <c r="J16" s="6"/>
      <c r="K16" s="6"/>
      <c r="L16" s="11"/>
    </row>
    <row r="17" spans="4:12" ht="26.25" customHeight="1">
      <c r="D17" s="8" t="s">
        <v>444</v>
      </c>
      <c r="E17" s="9"/>
      <c r="F17" s="1">
        <v>5</v>
      </c>
      <c r="G17" s="11" t="s">
        <v>454</v>
      </c>
      <c r="H17" s="11" t="s">
        <v>446</v>
      </c>
      <c r="I17" s="11" t="s">
        <v>455</v>
      </c>
      <c r="J17" s="13">
        <v>1247</v>
      </c>
      <c r="K17" s="15"/>
      <c r="L17" s="11"/>
    </row>
    <row r="18" spans="4:12" ht="21">
      <c r="D18" s="6"/>
      <c r="E18" s="6"/>
      <c r="F18" s="78"/>
      <c r="G18" s="6"/>
      <c r="H18" s="6"/>
      <c r="I18" s="6"/>
      <c r="J18" s="6"/>
      <c r="K18" s="6"/>
      <c r="L18" s="11"/>
    </row>
    <row r="19" spans="4:12" ht="23.25" customHeight="1">
      <c r="D19" s="8" t="s">
        <v>444</v>
      </c>
      <c r="E19" s="9"/>
      <c r="F19" s="1">
        <v>6</v>
      </c>
      <c r="G19" s="11" t="s">
        <v>456</v>
      </c>
      <c r="H19" s="11" t="s">
        <v>446</v>
      </c>
      <c r="I19" s="11" t="s">
        <v>457</v>
      </c>
      <c r="J19" s="13">
        <v>1247</v>
      </c>
      <c r="K19" s="15"/>
      <c r="L19" s="11"/>
    </row>
    <row r="20" spans="4:12" ht="21">
      <c r="D20" s="6"/>
      <c r="E20" s="6"/>
      <c r="F20" s="78"/>
      <c r="G20" s="6"/>
      <c r="H20" s="6"/>
      <c r="I20" s="6"/>
      <c r="J20" s="6"/>
      <c r="K20" s="6"/>
      <c r="L20" s="11"/>
    </row>
    <row r="21" spans="4:12" ht="22.5" customHeight="1">
      <c r="D21" s="8" t="s">
        <v>444</v>
      </c>
      <c r="E21" s="9">
        <v>40179</v>
      </c>
      <c r="F21" s="1">
        <v>7</v>
      </c>
      <c r="G21" s="11" t="s">
        <v>458</v>
      </c>
      <c r="H21" s="11" t="s">
        <v>446</v>
      </c>
      <c r="I21" s="11" t="s">
        <v>459</v>
      </c>
      <c r="J21" s="13">
        <v>1247</v>
      </c>
      <c r="K21" s="15"/>
      <c r="L21" s="11"/>
    </row>
    <row r="22" spans="4:12" ht="21">
      <c r="D22" s="6"/>
      <c r="E22" s="6"/>
      <c r="F22" s="78"/>
      <c r="G22" s="6"/>
      <c r="H22" s="6"/>
      <c r="I22" s="6"/>
      <c r="J22" s="6"/>
      <c r="K22" s="6"/>
      <c r="L22" s="11"/>
    </row>
    <row r="23" spans="4:12" ht="24.75" customHeight="1">
      <c r="D23" s="8" t="s">
        <v>444</v>
      </c>
      <c r="E23" s="9">
        <v>40179</v>
      </c>
      <c r="F23" s="1">
        <v>8</v>
      </c>
      <c r="G23" s="11" t="s">
        <v>460</v>
      </c>
      <c r="H23" s="11" t="s">
        <v>446</v>
      </c>
      <c r="I23" s="11" t="s">
        <v>461</v>
      </c>
      <c r="J23" s="13">
        <v>1247</v>
      </c>
      <c r="K23" s="15"/>
      <c r="L23" s="11"/>
    </row>
    <row r="24" spans="4:12" ht="21">
      <c r="D24" s="6"/>
      <c r="E24" s="6"/>
      <c r="F24" s="78"/>
      <c r="G24" s="6"/>
      <c r="H24" s="6"/>
      <c r="I24" s="6"/>
      <c r="J24" s="6"/>
      <c r="K24" s="6"/>
      <c r="L24" s="11"/>
    </row>
    <row r="25" spans="4:12" ht="24.75" customHeight="1">
      <c r="D25" s="8" t="s">
        <v>444</v>
      </c>
      <c r="E25" s="9"/>
      <c r="F25" s="1">
        <v>9</v>
      </c>
      <c r="G25" s="11" t="s">
        <v>462</v>
      </c>
      <c r="H25" s="11" t="s">
        <v>446</v>
      </c>
      <c r="I25" s="11" t="s">
        <v>463</v>
      </c>
      <c r="J25" s="13">
        <v>1247</v>
      </c>
      <c r="K25" s="15"/>
      <c r="L25" s="11"/>
    </row>
    <row r="26" spans="4:12" ht="21">
      <c r="D26" s="6"/>
      <c r="E26" s="6"/>
      <c r="F26" s="78"/>
      <c r="G26" s="6"/>
      <c r="H26" s="6"/>
      <c r="I26" s="6"/>
      <c r="J26" s="6"/>
      <c r="K26" s="6"/>
      <c r="L26" s="11"/>
    </row>
    <row r="27" spans="4:12" ht="26.25" customHeight="1">
      <c r="D27" s="8" t="s">
        <v>444</v>
      </c>
      <c r="E27" s="9"/>
      <c r="F27" s="1">
        <v>10</v>
      </c>
      <c r="G27" s="11" t="s">
        <v>464</v>
      </c>
      <c r="H27" s="11" t="s">
        <v>446</v>
      </c>
      <c r="I27" s="11" t="s">
        <v>465</v>
      </c>
      <c r="J27" s="13">
        <v>1247</v>
      </c>
      <c r="K27" s="15"/>
      <c r="L27" s="11"/>
    </row>
    <row r="28" spans="4:12" ht="21">
      <c r="D28" s="6"/>
      <c r="E28" s="6"/>
      <c r="F28" s="78"/>
      <c r="G28" s="6"/>
      <c r="H28" s="6"/>
      <c r="I28" s="6"/>
      <c r="J28" s="6"/>
      <c r="K28" s="6"/>
      <c r="L28" s="11"/>
    </row>
    <row r="29" spans="4:12" ht="22.5" customHeight="1">
      <c r="D29" s="8" t="s">
        <v>444</v>
      </c>
      <c r="E29" s="9"/>
      <c r="F29" s="1">
        <v>11</v>
      </c>
      <c r="G29" s="11" t="s">
        <v>466</v>
      </c>
      <c r="H29" s="11" t="s">
        <v>446</v>
      </c>
      <c r="I29" s="11" t="s">
        <v>467</v>
      </c>
      <c r="J29" s="13">
        <v>1247</v>
      </c>
      <c r="K29" s="15"/>
      <c r="L29" s="11"/>
    </row>
    <row r="30" spans="4:12" ht="21">
      <c r="D30" s="6"/>
      <c r="E30" s="6"/>
      <c r="F30" s="78"/>
      <c r="G30" s="6"/>
      <c r="H30" s="6"/>
      <c r="I30" s="6"/>
      <c r="J30" s="6"/>
      <c r="K30" s="6"/>
      <c r="L30" s="11"/>
    </row>
    <row r="31" spans="4:12" ht="26.25" customHeight="1">
      <c r="D31" s="8" t="s">
        <v>444</v>
      </c>
      <c r="E31" s="9"/>
      <c r="F31" s="1">
        <v>12</v>
      </c>
      <c r="G31" s="11" t="s">
        <v>468</v>
      </c>
      <c r="H31" s="11" t="s">
        <v>446</v>
      </c>
      <c r="I31" s="11" t="s">
        <v>469</v>
      </c>
      <c r="J31" s="13">
        <v>1247</v>
      </c>
      <c r="K31" s="15"/>
      <c r="L31" s="11"/>
    </row>
    <row r="32" spans="4:12" ht="21">
      <c r="D32" s="6"/>
      <c r="E32" s="6"/>
      <c r="F32" s="78"/>
      <c r="G32" s="6"/>
      <c r="H32" s="6"/>
      <c r="I32" s="6"/>
      <c r="J32" s="6"/>
      <c r="K32" s="6"/>
      <c r="L32" s="11"/>
    </row>
    <row r="33" spans="4:14" ht="23.25" customHeight="1">
      <c r="D33" s="8" t="s">
        <v>444</v>
      </c>
      <c r="E33" s="9">
        <v>40179</v>
      </c>
      <c r="F33" s="1">
        <v>13</v>
      </c>
      <c r="G33" s="11" t="s">
        <v>470</v>
      </c>
      <c r="H33" s="11" t="s">
        <v>446</v>
      </c>
      <c r="I33" s="11" t="s">
        <v>471</v>
      </c>
      <c r="J33" s="13">
        <v>1247</v>
      </c>
      <c r="K33" s="15"/>
      <c r="L33" s="11"/>
    </row>
    <row r="34" spans="4:14" ht="21">
      <c r="D34" s="6"/>
      <c r="E34" s="6"/>
      <c r="F34" s="78"/>
      <c r="G34" s="6"/>
      <c r="H34" s="6"/>
      <c r="I34" s="6"/>
      <c r="J34" s="6"/>
      <c r="K34" s="6"/>
      <c r="L34" s="11"/>
    </row>
    <row r="35" spans="4:14" ht="21">
      <c r="D35" s="8"/>
      <c r="E35" s="9"/>
      <c r="F35" s="1"/>
      <c r="G35" s="11"/>
      <c r="H35" s="11"/>
      <c r="I35" s="11" t="s">
        <v>472</v>
      </c>
      <c r="J35" s="13">
        <f>SUM(J9:J33)</f>
        <v>16211</v>
      </c>
      <c r="K35" s="11"/>
      <c r="L35" s="11"/>
    </row>
    <row r="36" spans="4:14" ht="21">
      <c r="D36" s="8"/>
      <c r="E36" s="11"/>
      <c r="F36" s="1"/>
      <c r="G36" s="11"/>
      <c r="H36" s="11"/>
      <c r="I36" s="81"/>
      <c r="J36" s="82"/>
      <c r="K36" s="11"/>
      <c r="L36" s="11"/>
    </row>
    <row r="37" spans="4:14" ht="21">
      <c r="D37" s="11"/>
      <c r="E37" s="11"/>
      <c r="F37" s="1"/>
      <c r="G37" s="11"/>
      <c r="H37" s="11"/>
      <c r="I37" s="81"/>
      <c r="J37" s="82"/>
      <c r="K37" s="11"/>
      <c r="L37" s="11"/>
    </row>
    <row r="38" spans="4:14" ht="21">
      <c r="D38" s="11"/>
      <c r="E38" s="11"/>
      <c r="F38" s="1"/>
      <c r="G38" s="11"/>
      <c r="H38" s="11"/>
      <c r="I38" s="81"/>
      <c r="J38" s="82"/>
      <c r="K38" s="11"/>
      <c r="L38" s="11"/>
    </row>
    <row r="39" spans="4:14" ht="21">
      <c r="D39" s="11"/>
      <c r="E39" s="11"/>
      <c r="F39" s="1"/>
      <c r="G39" s="11"/>
      <c r="H39" s="11"/>
      <c r="I39" s="11"/>
      <c r="J39" s="11"/>
      <c r="K39" s="11"/>
      <c r="L39" s="11"/>
      <c r="N39" s="56"/>
    </row>
    <row r="40" spans="4:14" ht="21">
      <c r="D40" s="11"/>
      <c r="E40" s="11"/>
      <c r="F40" s="1"/>
      <c r="G40" s="15"/>
      <c r="H40" s="310"/>
      <c r="I40" s="310"/>
      <c r="J40" s="15"/>
      <c r="K40" s="15"/>
      <c r="L40" s="15"/>
    </row>
    <row r="41" spans="4:14" ht="21">
      <c r="D41" s="79"/>
      <c r="E41" s="79"/>
      <c r="F41" s="1"/>
      <c r="G41" s="1" t="s">
        <v>108</v>
      </c>
      <c r="H41" s="309"/>
      <c r="I41" s="309"/>
      <c r="J41" s="311" t="s">
        <v>522</v>
      </c>
      <c r="K41" s="311"/>
      <c r="L41" s="311"/>
    </row>
    <row r="42" spans="4:14" ht="21">
      <c r="D42" s="79"/>
      <c r="E42" s="79"/>
      <c r="F42" s="1"/>
      <c r="G42" s="1" t="s">
        <v>109</v>
      </c>
      <c r="H42" s="79"/>
      <c r="I42" s="1"/>
      <c r="J42" s="309" t="s">
        <v>523</v>
      </c>
      <c r="K42" s="309"/>
      <c r="L42" s="309"/>
    </row>
    <row r="43" spans="4:14" ht="21">
      <c r="D43" s="11"/>
      <c r="E43" s="11"/>
      <c r="F43" s="1"/>
      <c r="G43" s="79"/>
      <c r="H43" s="79"/>
      <c r="I43" s="79"/>
      <c r="J43" s="79"/>
      <c r="K43" s="79"/>
      <c r="L43" s="79"/>
    </row>
    <row r="44" spans="4:14" ht="21">
      <c r="D44" s="11"/>
      <c r="E44" s="11"/>
      <c r="F44" s="1"/>
      <c r="G44" s="79"/>
      <c r="H44" s="79"/>
      <c r="I44" s="79"/>
      <c r="J44" s="83"/>
      <c r="K44" s="79"/>
      <c r="L44" s="79"/>
    </row>
    <row r="45" spans="4:14">
      <c r="G45" s="42"/>
      <c r="H45" s="42"/>
      <c r="I45" s="42"/>
      <c r="J45" s="42"/>
      <c r="K45" s="42"/>
      <c r="L45" s="42"/>
    </row>
    <row r="46" spans="4:14">
      <c r="J46" s="20"/>
    </row>
    <row r="61" spans="11:11">
      <c r="K61" s="35">
        <f>+SINDICATO!O93+'SEGURIDAD '!Q47+eventual!J214+CONFIANZA!L144</f>
        <v>1205579.4804040005</v>
      </c>
    </row>
  </sheetData>
  <sortState xmlns:xlrd2="http://schemas.microsoft.com/office/spreadsheetml/2017/richdata2" ref="A11:A23">
    <sortCondition ref="A11:A23"/>
  </sortState>
  <mergeCells count="7">
    <mergeCell ref="J42:L42"/>
    <mergeCell ref="D1:K1"/>
    <mergeCell ref="D2:K2"/>
    <mergeCell ref="D3:K3"/>
    <mergeCell ref="H40:I40"/>
    <mergeCell ref="H41:I41"/>
    <mergeCell ref="J41:L41"/>
  </mergeCells>
  <pageMargins left="0.75" right="0.53" top="0.55118110236220497" bottom="0.4" header="0.31496062992126" footer="0.31496062992126"/>
  <pageSetup paperSize="5" scale="56" orientation="landscape" r:id="rId1"/>
  <headerFooter>
    <oddFooter>&amp;CDelegados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99"/>
  <sheetViews>
    <sheetView workbookViewId="0">
      <selection activeCell="G16" sqref="G16"/>
    </sheetView>
  </sheetViews>
  <sheetFormatPr baseColWidth="10" defaultColWidth="9.140625" defaultRowHeight="15"/>
  <cols>
    <col min="1" max="1" width="5.5703125" customWidth="1"/>
    <col min="2" max="2" width="39.7109375" customWidth="1"/>
    <col min="3" max="3" width="34" customWidth="1"/>
    <col min="4" max="4" width="30" style="42" customWidth="1"/>
  </cols>
  <sheetData>
    <row r="1" spans="1:4" ht="21" customHeight="1">
      <c r="A1" s="66"/>
      <c r="B1" s="312"/>
      <c r="C1" s="312"/>
      <c r="D1" s="312"/>
    </row>
    <row r="2" spans="1:4" ht="21" customHeight="1">
      <c r="A2" s="66"/>
      <c r="B2" s="67"/>
      <c r="C2" s="67"/>
      <c r="D2" s="68"/>
    </row>
    <row r="3" spans="1:4" ht="21" customHeight="1">
      <c r="A3" s="69"/>
      <c r="D3" s="55"/>
    </row>
    <row r="4" spans="1:4" ht="21" customHeight="1">
      <c r="A4" s="69"/>
      <c r="B4" s="70"/>
      <c r="C4" s="70"/>
      <c r="D4" s="71"/>
    </row>
    <row r="5" spans="1:4" ht="30" customHeight="1">
      <c r="A5" s="69"/>
      <c r="B5" s="72"/>
      <c r="D5" s="55"/>
    </row>
    <row r="6" spans="1:4" ht="21" customHeight="1">
      <c r="A6" s="69"/>
      <c r="B6" s="70"/>
      <c r="C6" s="70"/>
      <c r="D6" s="71"/>
    </row>
    <row r="7" spans="1:4" ht="21" customHeight="1">
      <c r="A7" s="69"/>
      <c r="B7" s="72"/>
      <c r="D7" s="55"/>
    </row>
    <row r="8" spans="1:4" ht="21" customHeight="1">
      <c r="A8" s="69"/>
      <c r="B8" s="70"/>
      <c r="C8" s="70"/>
      <c r="D8" s="71"/>
    </row>
    <row r="9" spans="1:4" ht="21" customHeight="1">
      <c r="A9" s="69"/>
      <c r="B9" s="72"/>
      <c r="D9" s="55"/>
    </row>
    <row r="10" spans="1:4" ht="21" customHeight="1">
      <c r="A10" s="69"/>
      <c r="B10" s="70"/>
      <c r="C10" s="70"/>
      <c r="D10" s="71"/>
    </row>
    <row r="11" spans="1:4" ht="21" customHeight="1">
      <c r="A11" s="69"/>
      <c r="B11" s="72"/>
      <c r="D11" s="55"/>
    </row>
    <row r="12" spans="1:4" ht="21" customHeight="1">
      <c r="A12" s="69"/>
      <c r="B12" s="70"/>
      <c r="C12" s="70"/>
      <c r="D12" s="71"/>
    </row>
    <row r="13" spans="1:4" ht="24.75" customHeight="1">
      <c r="A13" s="69"/>
      <c r="B13" s="72"/>
      <c r="D13" s="55"/>
    </row>
    <row r="14" spans="1:4" ht="21" customHeight="1">
      <c r="A14" s="69"/>
      <c r="B14" s="70"/>
      <c r="C14" s="70"/>
      <c r="D14" s="71"/>
    </row>
    <row r="15" spans="1:4" ht="21" customHeight="1">
      <c r="A15" s="69"/>
      <c r="B15" s="72"/>
      <c r="D15" s="55"/>
    </row>
    <row r="16" spans="1:4" ht="21" customHeight="1">
      <c r="B16" s="70"/>
      <c r="C16" s="70"/>
      <c r="D16" s="71"/>
    </row>
    <row r="17" spans="1:4" ht="21" customHeight="1">
      <c r="A17" s="69"/>
      <c r="B17" s="72"/>
      <c r="D17" s="55"/>
    </row>
    <row r="18" spans="1:4" ht="21" customHeight="1">
      <c r="A18" s="69"/>
      <c r="B18" s="70"/>
      <c r="C18" s="70"/>
      <c r="D18" s="71"/>
    </row>
    <row r="19" spans="1:4" ht="21" customHeight="1">
      <c r="A19" s="69"/>
      <c r="D19" s="55"/>
    </row>
    <row r="20" spans="1:4" ht="21" customHeight="1">
      <c r="A20" s="69"/>
      <c r="B20" s="70"/>
      <c r="C20" s="70"/>
      <c r="D20" s="71"/>
    </row>
    <row r="21" spans="1:4" ht="21" customHeight="1">
      <c r="A21" s="69"/>
      <c r="B21" s="72"/>
      <c r="D21" s="55"/>
    </row>
    <row r="22" spans="1:4" ht="21" customHeight="1">
      <c r="A22" s="69"/>
      <c r="B22" s="70"/>
      <c r="C22" s="70"/>
      <c r="D22" s="71"/>
    </row>
    <row r="23" spans="1:4" ht="21" customHeight="1">
      <c r="A23" s="69"/>
      <c r="D23" s="55"/>
    </row>
    <row r="24" spans="1:4" ht="21" customHeight="1">
      <c r="A24" s="69"/>
      <c r="B24" s="70"/>
      <c r="C24" s="70"/>
      <c r="D24" s="71"/>
    </row>
    <row r="25" spans="1:4" ht="30" customHeight="1">
      <c r="A25" s="69"/>
      <c r="B25" s="72"/>
      <c r="D25" s="55"/>
    </row>
    <row r="26" spans="1:4" ht="21" customHeight="1">
      <c r="A26" s="69"/>
      <c r="B26" s="70"/>
      <c r="C26" s="70"/>
      <c r="D26" s="71"/>
    </row>
    <row r="27" spans="1:4" ht="21" customHeight="1">
      <c r="A27" s="69"/>
      <c r="D27" s="55"/>
    </row>
    <row r="28" spans="1:4" ht="21" customHeight="1">
      <c r="A28" s="69"/>
      <c r="B28" s="70"/>
      <c r="C28" s="70"/>
      <c r="D28" s="71"/>
    </row>
    <row r="29" spans="1:4" ht="21" customHeight="1">
      <c r="A29" s="69"/>
      <c r="B29" s="72"/>
      <c r="D29" s="55"/>
    </row>
    <row r="30" spans="1:4" ht="21" customHeight="1">
      <c r="A30" s="69"/>
      <c r="B30" s="70"/>
      <c r="C30" s="70"/>
      <c r="D30" s="71"/>
    </row>
    <row r="31" spans="1:4" ht="21" customHeight="1">
      <c r="A31" s="69"/>
      <c r="B31" s="72"/>
      <c r="D31" s="55"/>
    </row>
    <row r="32" spans="1:4" ht="21" customHeight="1">
      <c r="A32" s="69"/>
      <c r="B32" s="70"/>
      <c r="C32" s="70"/>
      <c r="D32" s="71"/>
    </row>
    <row r="33" spans="1:4" ht="21" customHeight="1">
      <c r="A33" s="69"/>
      <c r="B33" s="72"/>
      <c r="D33" s="55"/>
    </row>
    <row r="34" spans="1:4" ht="21" customHeight="1">
      <c r="A34" s="69"/>
      <c r="B34" s="70"/>
      <c r="C34" s="70"/>
      <c r="D34" s="71"/>
    </row>
    <row r="35" spans="1:4" ht="21" customHeight="1">
      <c r="A35" s="69"/>
      <c r="B35" s="72"/>
      <c r="D35" s="55"/>
    </row>
    <row r="36" spans="1:4" ht="21" customHeight="1">
      <c r="A36" s="69"/>
      <c r="B36" s="70"/>
      <c r="C36" s="70"/>
      <c r="D36" s="71"/>
    </row>
    <row r="37" spans="1:4" ht="21" customHeight="1">
      <c r="A37" s="69"/>
      <c r="B37" s="72"/>
      <c r="D37" s="55"/>
    </row>
    <row r="38" spans="1:4" ht="21" customHeight="1">
      <c r="A38" s="69"/>
      <c r="B38" s="70"/>
      <c r="C38" s="70"/>
      <c r="D38" s="71"/>
    </row>
    <row r="39" spans="1:4" ht="21" customHeight="1">
      <c r="A39" s="69"/>
      <c r="B39" s="72"/>
      <c r="D39" s="55"/>
    </row>
    <row r="40" spans="1:4" ht="21" customHeight="1">
      <c r="A40" s="69"/>
      <c r="B40" s="70"/>
      <c r="C40" s="70"/>
      <c r="D40" s="71"/>
    </row>
    <row r="41" spans="1:4" ht="21" customHeight="1">
      <c r="A41" s="69"/>
      <c r="B41" s="72"/>
      <c r="D41" s="55"/>
    </row>
    <row r="42" spans="1:4" ht="21" customHeight="1">
      <c r="A42" s="69"/>
      <c r="B42" s="70"/>
      <c r="C42" s="70"/>
      <c r="D42" s="71"/>
    </row>
    <row r="43" spans="1:4" ht="21" customHeight="1">
      <c r="A43" s="69"/>
      <c r="B43" s="72"/>
      <c r="D43" s="55"/>
    </row>
    <row r="44" spans="1:4" ht="21" customHeight="1">
      <c r="A44" s="69"/>
      <c r="B44" s="70"/>
      <c r="C44" s="70"/>
      <c r="D44" s="71"/>
    </row>
    <row r="45" spans="1:4" ht="21" customHeight="1">
      <c r="A45" s="69"/>
      <c r="D45" s="55"/>
    </row>
    <row r="46" spans="1:4" ht="21" customHeight="1">
      <c r="A46" s="69"/>
      <c r="B46" s="70"/>
      <c r="C46" s="70"/>
      <c r="D46" s="71"/>
    </row>
    <row r="47" spans="1:4" ht="21" customHeight="1">
      <c r="A47" s="69"/>
      <c r="B47" s="72"/>
      <c r="D47" s="55"/>
    </row>
    <row r="48" spans="1:4" ht="21" customHeight="1">
      <c r="A48" s="69"/>
      <c r="B48" s="70"/>
      <c r="C48" s="70"/>
      <c r="D48" s="71"/>
    </row>
    <row r="49" spans="1:4" ht="21" customHeight="1">
      <c r="A49" s="69"/>
      <c r="B49" s="72"/>
      <c r="D49" s="55"/>
    </row>
    <row r="50" spans="1:4" ht="21" customHeight="1">
      <c r="A50" s="69"/>
      <c r="B50" s="70"/>
      <c r="C50" s="70"/>
      <c r="D50" s="71"/>
    </row>
    <row r="51" spans="1:4" ht="21" customHeight="1">
      <c r="A51" s="69"/>
      <c r="D51" s="55"/>
    </row>
    <row r="52" spans="1:4" ht="21" customHeight="1">
      <c r="A52" s="69"/>
      <c r="B52" s="70"/>
      <c r="C52" s="70"/>
      <c r="D52" s="71"/>
    </row>
    <row r="53" spans="1:4" ht="21" customHeight="1">
      <c r="A53" s="69"/>
      <c r="B53" s="72"/>
      <c r="D53" s="55"/>
    </row>
    <row r="54" spans="1:4" ht="21" customHeight="1">
      <c r="A54" s="69"/>
      <c r="B54" s="70"/>
      <c r="C54" s="70"/>
      <c r="D54" s="71"/>
    </row>
    <row r="55" spans="1:4" ht="21" customHeight="1">
      <c r="A55" s="69"/>
      <c r="B55" s="72"/>
      <c r="D55" s="55"/>
    </row>
    <row r="56" spans="1:4" ht="21" customHeight="1">
      <c r="A56" s="69"/>
      <c r="B56" s="70"/>
      <c r="C56" s="70"/>
      <c r="D56" s="71"/>
    </row>
    <row r="57" spans="1:4" ht="21" customHeight="1">
      <c r="A57" s="69"/>
      <c r="D57" s="55"/>
    </row>
    <row r="58" spans="1:4" ht="21" customHeight="1">
      <c r="A58" s="69"/>
      <c r="B58" s="70"/>
      <c r="C58" s="70"/>
      <c r="D58" s="71"/>
    </row>
    <row r="59" spans="1:4" ht="21" customHeight="1">
      <c r="A59" s="69"/>
      <c r="B59" s="72"/>
      <c r="D59" s="55"/>
    </row>
    <row r="60" spans="1:4" ht="21" customHeight="1">
      <c r="A60" s="69"/>
      <c r="B60" s="70"/>
      <c r="C60" s="70"/>
      <c r="D60" s="71"/>
    </row>
    <row r="61" spans="1:4" ht="21" customHeight="1">
      <c r="A61" s="69"/>
      <c r="B61" s="72"/>
      <c r="D61" s="55"/>
    </row>
    <row r="62" spans="1:4" ht="21" customHeight="1">
      <c r="A62" s="69"/>
      <c r="B62" s="70"/>
      <c r="C62" s="70"/>
      <c r="D62" s="71"/>
    </row>
    <row r="63" spans="1:4" ht="21" customHeight="1">
      <c r="A63" s="69"/>
      <c r="D63" s="55"/>
    </row>
    <row r="64" spans="1:4" ht="21" customHeight="1">
      <c r="A64" s="69"/>
      <c r="B64" s="70"/>
      <c r="C64" s="70"/>
      <c r="D64" s="71"/>
    </row>
    <row r="65" spans="1:4" ht="31.5" customHeight="1">
      <c r="A65" s="69"/>
      <c r="B65" s="72"/>
      <c r="D65" s="55"/>
    </row>
    <row r="66" spans="1:4" ht="21" customHeight="1">
      <c r="A66" s="69"/>
      <c r="B66" s="70"/>
      <c r="C66" s="70"/>
      <c r="D66" s="71"/>
    </row>
    <row r="67" spans="1:4" ht="21" customHeight="1">
      <c r="A67" s="69"/>
      <c r="B67" s="72"/>
      <c r="D67" s="55"/>
    </row>
    <row r="68" spans="1:4" ht="21" customHeight="1">
      <c r="A68" s="69"/>
      <c r="B68" s="70"/>
      <c r="C68" s="70"/>
      <c r="D68" s="71"/>
    </row>
    <row r="69" spans="1:4" ht="21" customHeight="1">
      <c r="A69" s="69"/>
      <c r="D69" s="55"/>
    </row>
    <row r="70" spans="1:4" ht="21" customHeight="1">
      <c r="A70" s="69"/>
      <c r="B70" s="73"/>
      <c r="C70" s="73"/>
      <c r="D70" s="74"/>
    </row>
    <row r="71" spans="1:4" ht="21" customHeight="1">
      <c r="A71" s="69"/>
      <c r="D71" s="55"/>
    </row>
    <row r="72" spans="1:4" ht="21" customHeight="1">
      <c r="A72" s="69"/>
      <c r="B72" s="75"/>
      <c r="C72" s="73"/>
      <c r="D72" s="74"/>
    </row>
    <row r="73" spans="1:4" ht="21" customHeight="1">
      <c r="A73" s="69"/>
      <c r="D73" s="55"/>
    </row>
    <row r="74" spans="1:4" ht="21" customHeight="1">
      <c r="A74" s="69"/>
      <c r="B74" s="73"/>
      <c r="C74" s="73"/>
      <c r="D74" s="74"/>
    </row>
    <row r="75" spans="1:4" ht="21" customHeight="1">
      <c r="A75" s="69"/>
      <c r="D75" s="55"/>
    </row>
    <row r="76" spans="1:4" ht="21" customHeight="1">
      <c r="A76" s="69"/>
      <c r="B76" s="73"/>
      <c r="C76" s="73"/>
      <c r="D76" s="74"/>
    </row>
    <row r="77" spans="1:4" ht="21" customHeight="1">
      <c r="A77" s="69"/>
      <c r="B77" s="72"/>
      <c r="D77" s="55"/>
    </row>
    <row r="78" spans="1:4" ht="21" customHeight="1">
      <c r="A78" s="69"/>
      <c r="B78" s="75"/>
      <c r="C78" s="73"/>
      <c r="D78" s="74"/>
    </row>
    <row r="79" spans="1:4" ht="21" customHeight="1">
      <c r="A79" s="69"/>
      <c r="B79" s="72"/>
      <c r="D79" s="55"/>
    </row>
    <row r="80" spans="1:4" ht="21" customHeight="1">
      <c r="A80" s="69"/>
      <c r="B80" s="75"/>
      <c r="C80" s="73"/>
      <c r="D80" s="74"/>
    </row>
    <row r="81" spans="1:4" ht="21" customHeight="1">
      <c r="A81" s="69"/>
      <c r="B81" s="72"/>
      <c r="D81" s="55"/>
    </row>
    <row r="82" spans="1:4" ht="21" customHeight="1">
      <c r="A82" s="69"/>
      <c r="B82" s="75"/>
      <c r="C82" s="73"/>
      <c r="D82" s="74"/>
    </row>
    <row r="83" spans="1:4" ht="21" customHeight="1">
      <c r="A83" s="69"/>
      <c r="B83" s="72"/>
      <c r="D83" s="55"/>
    </row>
    <row r="84" spans="1:4" ht="21" customHeight="1">
      <c r="A84" s="69"/>
      <c r="B84" s="75"/>
      <c r="C84" s="73"/>
      <c r="D84" s="74"/>
    </row>
    <row r="85" spans="1:4" ht="21" customHeight="1">
      <c r="A85" s="69"/>
      <c r="B85" s="72"/>
      <c r="D85" s="55"/>
    </row>
    <row r="86" spans="1:4" ht="21" customHeight="1">
      <c r="A86" s="69"/>
      <c r="B86" s="75"/>
      <c r="C86" s="73"/>
      <c r="D86" s="74"/>
    </row>
    <row r="87" spans="1:4" ht="21" customHeight="1">
      <c r="A87" s="69"/>
      <c r="B87" s="72"/>
      <c r="D87" s="55"/>
    </row>
    <row r="88" spans="1:4" ht="21" customHeight="1">
      <c r="A88" s="69"/>
      <c r="B88" s="73"/>
      <c r="C88" s="73"/>
      <c r="D88" s="74"/>
    </row>
    <row r="89" spans="1:4" ht="21" customHeight="1">
      <c r="A89" s="69"/>
      <c r="D89" s="55"/>
    </row>
    <row r="90" spans="1:4" ht="21" customHeight="1">
      <c r="A90" s="69"/>
      <c r="B90" s="75"/>
      <c r="C90" s="73"/>
      <c r="D90" s="74"/>
    </row>
    <row r="91" spans="1:4" ht="21" customHeight="1">
      <c r="A91" s="69"/>
      <c r="D91" s="55"/>
    </row>
    <row r="92" spans="1:4" ht="21" customHeight="1">
      <c r="A92" s="69"/>
      <c r="B92" s="73"/>
      <c r="C92" s="73"/>
      <c r="D92" s="74"/>
    </row>
    <row r="93" spans="1:4" ht="21" customHeight="1">
      <c r="A93" s="69"/>
      <c r="D93" s="55"/>
    </row>
    <row r="94" spans="1:4" ht="21" customHeight="1">
      <c r="A94" s="69"/>
      <c r="B94" s="73"/>
      <c r="C94" s="73"/>
      <c r="D94" s="74"/>
    </row>
    <row r="95" spans="1:4" ht="21" customHeight="1">
      <c r="A95" s="69"/>
      <c r="D95" s="55"/>
    </row>
    <row r="96" spans="1:4" ht="21" customHeight="1">
      <c r="A96" s="69"/>
      <c r="B96" s="75"/>
      <c r="C96" s="73"/>
      <c r="D96" s="74"/>
    </row>
    <row r="97" spans="1:4" ht="21" customHeight="1">
      <c r="A97" s="69"/>
      <c r="D97" s="55"/>
    </row>
    <row r="98" spans="1:4">
      <c r="A98" s="69"/>
      <c r="D98" s="55"/>
    </row>
    <row r="99" spans="1:4" ht="18.75">
      <c r="A99" s="69"/>
      <c r="C99" s="76"/>
      <c r="D99" s="77"/>
    </row>
  </sheetData>
  <mergeCells count="1">
    <mergeCell ref="B1:D1"/>
  </mergeCells>
  <pageMargins left="0.7" right="0.7" top="0.75" bottom="0.75" header="0.3" footer="0.3"/>
  <pageSetup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9"/>
  </sheetPr>
  <dimension ref="C1:M145"/>
  <sheetViews>
    <sheetView zoomScale="80" zoomScaleNormal="80" workbookViewId="0">
      <selection activeCell="C2" sqref="C2"/>
    </sheetView>
  </sheetViews>
  <sheetFormatPr baseColWidth="10" defaultColWidth="11" defaultRowHeight="15"/>
  <cols>
    <col min="3" max="3" width="17.28515625" customWidth="1"/>
    <col min="4" max="4" width="40.85546875" customWidth="1"/>
    <col min="5" max="5" width="19.5703125" customWidth="1"/>
    <col min="6" max="7" width="20.140625" customWidth="1"/>
    <col min="8" max="8" width="47.28515625" customWidth="1"/>
    <col min="9" max="9" width="29.85546875" customWidth="1"/>
    <col min="10" max="10" width="17.5703125" customWidth="1"/>
    <col min="11" max="11" width="14.42578125" style="18" customWidth="1"/>
    <col min="12" max="13" width="11.42578125" customWidth="1"/>
    <col min="15" max="15" width="11.42578125" customWidth="1"/>
  </cols>
  <sheetData>
    <row r="1" spans="3:12" ht="21">
      <c r="H1" s="309" t="s">
        <v>421</v>
      </c>
      <c r="I1" s="309"/>
      <c r="J1" s="309"/>
    </row>
    <row r="3" spans="3:12" ht="15.75">
      <c r="D3" s="313" t="s">
        <v>474</v>
      </c>
      <c r="E3" s="313"/>
      <c r="F3" s="29"/>
      <c r="G3" s="29"/>
      <c r="H3" s="30" t="s">
        <v>475</v>
      </c>
      <c r="I3" s="31"/>
      <c r="J3" s="31"/>
    </row>
    <row r="4" spans="3:12" ht="15.75">
      <c r="H4" s="31" t="s">
        <v>419</v>
      </c>
      <c r="I4" s="31"/>
      <c r="J4" s="44">
        <f>+CONFIANZA!L114</f>
        <v>5283.6706000000004</v>
      </c>
    </row>
    <row r="5" spans="3:12" ht="15.75">
      <c r="H5" s="31" t="s">
        <v>365</v>
      </c>
      <c r="I5" s="31"/>
      <c r="J5" s="45">
        <f>+CONFIANZA!L31</f>
        <v>14529.016214399999</v>
      </c>
      <c r="L5" s="39"/>
    </row>
    <row r="6" spans="3:12" ht="15.75">
      <c r="H6" s="31" t="s">
        <v>422</v>
      </c>
      <c r="I6" s="47"/>
      <c r="J6" s="54">
        <f>+CONFIANZA!L117</f>
        <v>5283.6706000000004</v>
      </c>
    </row>
    <row r="7" spans="3:12" ht="18.75">
      <c r="C7" s="18"/>
      <c r="D7" s="32"/>
      <c r="E7" s="33"/>
      <c r="F7" s="33"/>
      <c r="G7" s="33"/>
      <c r="J7" s="48">
        <f>SUM(J4:J6)</f>
        <v>25096.357414400001</v>
      </c>
      <c r="L7" s="39"/>
    </row>
    <row r="8" spans="3:12" ht="15.75">
      <c r="C8" s="18"/>
      <c r="D8" s="34" t="s">
        <v>476</v>
      </c>
      <c r="E8" s="33"/>
      <c r="F8" s="33"/>
      <c r="G8" s="33"/>
      <c r="H8" s="31"/>
      <c r="I8" s="47"/>
      <c r="J8" s="44"/>
    </row>
    <row r="9" spans="3:12" ht="15.75">
      <c r="C9" s="18">
        <v>1074</v>
      </c>
      <c r="D9" t="s">
        <v>477</v>
      </c>
      <c r="E9" s="35">
        <f>+eventual!J127</f>
        <v>3606.12</v>
      </c>
      <c r="F9" s="35"/>
      <c r="G9" s="35"/>
      <c r="H9" s="30" t="s">
        <v>478</v>
      </c>
      <c r="I9" s="47"/>
      <c r="J9" s="44"/>
    </row>
    <row r="10" spans="3:12" ht="15.75">
      <c r="C10" s="18"/>
      <c r="E10" s="35"/>
      <c r="F10" s="35"/>
      <c r="G10" s="35"/>
      <c r="H10" s="36"/>
      <c r="I10" s="36"/>
      <c r="J10" s="49"/>
    </row>
    <row r="11" spans="3:12" ht="15.75">
      <c r="C11" s="18"/>
      <c r="E11" s="37">
        <f>SUM(E9:E10)</f>
        <v>3606.12</v>
      </c>
      <c r="F11" s="38"/>
      <c r="G11" s="38"/>
      <c r="H11" s="36" t="s">
        <v>137</v>
      </c>
      <c r="I11" s="36" t="s">
        <v>123</v>
      </c>
      <c r="J11" s="49">
        <f>+'SEGURIDAD '!Q29</f>
        <v>5692.6575999999995</v>
      </c>
    </row>
    <row r="12" spans="3:12">
      <c r="C12" s="18"/>
      <c r="E12" s="38"/>
      <c r="F12" s="38"/>
      <c r="G12" s="38"/>
      <c r="H12" s="36" t="s">
        <v>147</v>
      </c>
      <c r="I12" s="36" t="s">
        <v>123</v>
      </c>
      <c r="J12" s="35">
        <f>+'SEGURIDAD '!Q40</f>
        <v>5692.6575999999995</v>
      </c>
    </row>
    <row r="13" spans="3:12">
      <c r="C13" s="18"/>
      <c r="E13" s="38"/>
      <c r="F13" s="38"/>
      <c r="G13" s="38"/>
      <c r="H13" s="36" t="s">
        <v>149</v>
      </c>
      <c r="I13" s="36" t="s">
        <v>123</v>
      </c>
      <c r="J13" s="292" t="e">
        <f>+'SEGURIDAD '!#REF!</f>
        <v>#REF!</v>
      </c>
      <c r="K13" s="293" t="s">
        <v>535</v>
      </c>
    </row>
    <row r="14" spans="3:12">
      <c r="C14" s="18"/>
      <c r="D14" s="34" t="s">
        <v>481</v>
      </c>
      <c r="E14" s="38"/>
      <c r="F14" s="38"/>
      <c r="G14" s="38"/>
      <c r="H14" s="284" t="s">
        <v>514</v>
      </c>
      <c r="I14" s="284" t="s">
        <v>123</v>
      </c>
      <c r="J14" s="35">
        <f>+'SEGURIDAD '!Q45</f>
        <v>5692.6575999999995</v>
      </c>
      <c r="K14" s="50"/>
    </row>
    <row r="15" spans="3:12">
      <c r="C15">
        <v>3141</v>
      </c>
      <c r="D15" t="s">
        <v>482</v>
      </c>
      <c r="E15" s="35">
        <f>+SINDICATO!O13</f>
        <v>7283.6856912000003</v>
      </c>
      <c r="F15" s="38"/>
      <c r="G15" s="38"/>
      <c r="H15" s="36" t="s">
        <v>534</v>
      </c>
      <c r="I15" s="291" t="s">
        <v>123</v>
      </c>
      <c r="J15" s="35">
        <f>+'SEGURIDAD '!Q44</f>
        <v>2314.8987999999999</v>
      </c>
    </row>
    <row r="16" spans="3:12">
      <c r="C16" s="18"/>
      <c r="D16" t="s">
        <v>483</v>
      </c>
      <c r="E16" s="35">
        <f>+SINDICATO!O43</f>
        <v>3941.1716240000001</v>
      </c>
      <c r="F16" s="38"/>
      <c r="G16" s="38"/>
      <c r="I16" s="36" t="s">
        <v>479</v>
      </c>
      <c r="J16" s="37" t="e">
        <f>SUM(J11:J15)</f>
        <v>#REF!</v>
      </c>
    </row>
    <row r="17" spans="3:13">
      <c r="C17" s="18"/>
      <c r="D17" t="s">
        <v>77</v>
      </c>
      <c r="E17" s="35">
        <f>+SINDICATO!O58</f>
        <v>3779.3363999999997</v>
      </c>
      <c r="F17" s="38"/>
      <c r="G17" s="38"/>
    </row>
    <row r="18" spans="3:13">
      <c r="C18" s="18"/>
      <c r="D18" t="s">
        <v>484</v>
      </c>
      <c r="E18" s="35">
        <f>+SINDICATO!O47</f>
        <v>3751.9070240000001</v>
      </c>
      <c r="F18" s="38"/>
      <c r="G18" s="38"/>
    </row>
    <row r="19" spans="3:13" ht="18.75">
      <c r="C19" s="18"/>
      <c r="D19" t="s">
        <v>485</v>
      </c>
      <c r="E19" s="39">
        <f>+SINDICATO!O50</f>
        <v>2833.9441559999996</v>
      </c>
      <c r="F19" s="38"/>
      <c r="G19" s="38"/>
      <c r="K19" s="51"/>
    </row>
    <row r="20" spans="3:13">
      <c r="C20" s="18"/>
      <c r="D20" s="290" t="s">
        <v>532</v>
      </c>
      <c r="E20" s="40">
        <f>+SINDICATO!O14</f>
        <v>6694.8935375999999</v>
      </c>
      <c r="F20" s="38"/>
      <c r="G20" s="38"/>
    </row>
    <row r="21" spans="3:13" ht="15.75">
      <c r="E21" s="38">
        <f>SUM(E15:E20)</f>
        <v>28284.938432800001</v>
      </c>
      <c r="F21" s="38"/>
      <c r="G21" s="38"/>
      <c r="H21" s="30" t="s">
        <v>480</v>
      </c>
      <c r="I21" s="31"/>
      <c r="J21" s="44"/>
    </row>
    <row r="22" spans="3:13" ht="15.75">
      <c r="C22" s="18"/>
      <c r="F22" s="38"/>
      <c r="G22" s="38"/>
      <c r="H22" s="31" t="s">
        <v>445</v>
      </c>
      <c r="I22" s="31"/>
      <c r="J22" s="44">
        <f>+'delegados 2023'!J9</f>
        <v>1247</v>
      </c>
    </row>
    <row r="23" spans="3:13" ht="15.75">
      <c r="C23" s="18"/>
      <c r="F23" s="38"/>
      <c r="G23" s="38"/>
      <c r="H23" s="31" t="s">
        <v>448</v>
      </c>
      <c r="J23" s="44">
        <f>+'delegados 2023'!J11</f>
        <v>1247</v>
      </c>
    </row>
    <row r="24" spans="3:13" ht="15.75">
      <c r="C24" s="18"/>
      <c r="D24" s="42" t="s">
        <v>486</v>
      </c>
      <c r="E24" s="43">
        <f>E11+E21</f>
        <v>31891.0584328</v>
      </c>
      <c r="F24" s="38"/>
      <c r="G24" s="38"/>
      <c r="H24" s="31" t="s">
        <v>450</v>
      </c>
      <c r="J24" s="44">
        <f>+'delegados 2023'!J13</f>
        <v>1247</v>
      </c>
      <c r="L24" s="35"/>
    </row>
    <row r="25" spans="3:13" ht="15.75">
      <c r="C25" s="18"/>
      <c r="F25" s="35"/>
      <c r="G25" s="35"/>
      <c r="H25" s="31" t="s">
        <v>452</v>
      </c>
      <c r="J25" s="44">
        <f>+'delegados 2023'!J15</f>
        <v>1247</v>
      </c>
    </row>
    <row r="26" spans="3:13" ht="15.75">
      <c r="C26" s="18"/>
      <c r="F26" s="35"/>
      <c r="G26" s="35"/>
      <c r="H26" s="31" t="s">
        <v>454</v>
      </c>
      <c r="J26" s="44">
        <f>+'delegados 2023'!J17</f>
        <v>1247</v>
      </c>
    </row>
    <row r="27" spans="3:13" ht="15.75">
      <c r="F27" s="38"/>
      <c r="G27" s="35"/>
      <c r="H27" s="31" t="s">
        <v>456</v>
      </c>
      <c r="J27" s="44">
        <f>+'delegados 2023'!J19</f>
        <v>1247</v>
      </c>
    </row>
    <row r="28" spans="3:13" ht="15.75">
      <c r="F28" s="38"/>
      <c r="G28" s="38"/>
      <c r="H28" s="31" t="s">
        <v>458</v>
      </c>
      <c r="J28" s="44">
        <f>+'delegados 2023'!J21</f>
        <v>1247</v>
      </c>
      <c r="M28" s="35"/>
    </row>
    <row r="29" spans="3:13" ht="15.75">
      <c r="F29" s="38"/>
      <c r="G29" s="38"/>
      <c r="H29" s="31" t="s">
        <v>460</v>
      </c>
      <c r="J29" s="44">
        <f>+'delegados 2023'!J23</f>
        <v>1247</v>
      </c>
    </row>
    <row r="30" spans="3:13" ht="15.75">
      <c r="G30" s="38"/>
      <c r="H30" s="31" t="s">
        <v>462</v>
      </c>
      <c r="J30" s="44">
        <f>+'delegados 2023'!J25</f>
        <v>1247</v>
      </c>
    </row>
    <row r="31" spans="3:13" ht="15.75">
      <c r="F31" s="38"/>
      <c r="H31" s="31" t="s">
        <v>464</v>
      </c>
      <c r="J31" s="44">
        <f>+'delegados 2023'!J27</f>
        <v>1247</v>
      </c>
    </row>
    <row r="32" spans="3:13" ht="15.75">
      <c r="F32" s="41"/>
      <c r="G32" s="38"/>
      <c r="H32" s="31" t="s">
        <v>466</v>
      </c>
      <c r="J32" s="44">
        <f>+'delegados 2023'!J29</f>
        <v>1247</v>
      </c>
    </row>
    <row r="33" spans="3:12" ht="15.75">
      <c r="F33" s="38"/>
      <c r="G33" s="38"/>
      <c r="H33" s="31" t="s">
        <v>468</v>
      </c>
      <c r="J33" s="44">
        <f>+'delegados 2023'!J31</f>
        <v>1247</v>
      </c>
    </row>
    <row r="34" spans="3:12" ht="15.75">
      <c r="F34" s="35"/>
      <c r="G34" s="38"/>
      <c r="H34" s="31" t="s">
        <v>470</v>
      </c>
      <c r="J34" s="46">
        <f>+'delegados 2023'!J33</f>
        <v>1247</v>
      </c>
      <c r="L34" s="35"/>
    </row>
    <row r="35" spans="3:12" ht="18.75">
      <c r="F35" s="35"/>
      <c r="G35" s="35"/>
      <c r="J35" s="52">
        <f>SUM(J22:J34)</f>
        <v>16211</v>
      </c>
      <c r="K35" s="53"/>
    </row>
    <row r="36" spans="3:12">
      <c r="F36" s="35"/>
      <c r="G36" s="35"/>
      <c r="J36" s="35"/>
    </row>
    <row r="37" spans="3:12" ht="15.75">
      <c r="F37" s="35"/>
      <c r="G37" s="35"/>
      <c r="H37" s="30" t="s">
        <v>487</v>
      </c>
      <c r="I37" s="31"/>
      <c r="J37" s="31"/>
    </row>
    <row r="38" spans="3:12">
      <c r="G38" s="35"/>
      <c r="H38" t="s">
        <v>242</v>
      </c>
      <c r="J38" s="54">
        <f>+eventual!J78</f>
        <v>5250</v>
      </c>
    </row>
    <row r="39" spans="3:12">
      <c r="C39" s="18"/>
      <c r="G39" s="35"/>
      <c r="J39" s="55">
        <f>+J38</f>
        <v>5250</v>
      </c>
    </row>
    <row r="40" spans="3:12">
      <c r="C40" s="18"/>
      <c r="F40" s="43"/>
      <c r="G40" s="38"/>
      <c r="J40" s="39"/>
    </row>
    <row r="41" spans="3:12">
      <c r="C41" s="18"/>
      <c r="F41" s="43"/>
      <c r="G41" s="38"/>
    </row>
    <row r="42" spans="3:12">
      <c r="C42" s="18"/>
      <c r="F42" s="43"/>
      <c r="G42" s="38"/>
    </row>
    <row r="43" spans="3:12">
      <c r="C43" s="18"/>
    </row>
    <row r="44" spans="3:12">
      <c r="C44" s="18"/>
      <c r="G44" s="43"/>
    </row>
    <row r="45" spans="3:12">
      <c r="C45" s="18"/>
      <c r="H45" s="28" t="s">
        <v>488</v>
      </c>
      <c r="I45" s="56"/>
    </row>
    <row r="46" spans="3:12">
      <c r="C46" s="18"/>
      <c r="F46" s="35"/>
      <c r="G46" t="s">
        <v>421</v>
      </c>
      <c r="H46" t="s">
        <v>214</v>
      </c>
      <c r="I46" s="56"/>
      <c r="J46" s="39">
        <f>+eventual!J53</f>
        <v>2404.08</v>
      </c>
    </row>
    <row r="47" spans="3:12">
      <c r="C47" s="18"/>
      <c r="F47" s="35"/>
      <c r="H47" t="s">
        <v>261</v>
      </c>
      <c r="I47" s="56"/>
      <c r="J47" s="39">
        <f>+eventual!J101</f>
        <v>5760.8</v>
      </c>
    </row>
    <row r="48" spans="3:12">
      <c r="C48" s="18"/>
      <c r="H48" t="s">
        <v>280</v>
      </c>
      <c r="I48" s="38"/>
      <c r="J48" s="39">
        <f>+eventual!J126</f>
        <v>3402</v>
      </c>
    </row>
    <row r="49" spans="3:13">
      <c r="C49" s="18"/>
      <c r="H49" t="s">
        <v>489</v>
      </c>
      <c r="J49" s="39">
        <f>+eventual!J74</f>
        <v>3606.12</v>
      </c>
    </row>
    <row r="50" spans="3:13">
      <c r="C50" s="18"/>
      <c r="H50" t="s">
        <v>180</v>
      </c>
      <c r="J50" s="39">
        <f>+eventual!J23</f>
        <v>4985.2</v>
      </c>
    </row>
    <row r="51" spans="3:13">
      <c r="H51" t="s">
        <v>212</v>
      </c>
      <c r="J51" s="39">
        <f>+eventual!J52</f>
        <v>2903.04</v>
      </c>
    </row>
    <row r="52" spans="3:13">
      <c r="H52" t="s">
        <v>211</v>
      </c>
      <c r="J52" s="39">
        <f>+eventual!J51</f>
        <v>2041.2</v>
      </c>
    </row>
    <row r="53" spans="3:13">
      <c r="H53" t="s">
        <v>234</v>
      </c>
      <c r="J53" s="39">
        <f>+eventual!J69</f>
        <v>3628.7999999999997</v>
      </c>
    </row>
    <row r="54" spans="3:13" ht="18" customHeight="1">
      <c r="H54" t="s">
        <v>205</v>
      </c>
      <c r="J54" s="39">
        <f>+eventual!J46</f>
        <v>2997.0863999999997</v>
      </c>
    </row>
    <row r="55" spans="3:13">
      <c r="H55" t="s">
        <v>490</v>
      </c>
      <c r="J55" s="39">
        <f>+eventual!J21</f>
        <v>3969</v>
      </c>
    </row>
    <row r="56" spans="3:13">
      <c r="H56" t="s">
        <v>178</v>
      </c>
      <c r="J56" s="39">
        <f>+eventual!J22</f>
        <v>3402</v>
      </c>
      <c r="L56" s="39"/>
    </row>
    <row r="57" spans="3:13">
      <c r="H57" t="s">
        <v>491</v>
      </c>
      <c r="J57" s="39">
        <f>+eventual!J70</f>
        <v>4327.12</v>
      </c>
    </row>
    <row r="58" spans="3:13" ht="13.5" customHeight="1">
      <c r="H58" t="s">
        <v>172</v>
      </c>
      <c r="J58" s="39">
        <f>+eventual!J20</f>
        <v>3005.1</v>
      </c>
      <c r="L58" s="57"/>
      <c r="M58" s="57"/>
    </row>
    <row r="59" spans="3:13" ht="13.5" customHeight="1">
      <c r="H59" t="s">
        <v>492</v>
      </c>
      <c r="J59" s="39">
        <f>+eventual!J57</f>
        <v>3000</v>
      </c>
      <c r="L59" s="57"/>
      <c r="M59" s="57"/>
    </row>
    <row r="60" spans="3:13">
      <c r="H60" t="s">
        <v>279</v>
      </c>
      <c r="J60" s="39">
        <f>+eventual!J125</f>
        <v>3402</v>
      </c>
      <c r="L60" s="57"/>
      <c r="M60" s="57"/>
    </row>
    <row r="61" spans="3:13">
      <c r="H61" t="s">
        <v>493</v>
      </c>
      <c r="J61" s="39">
        <f>+eventual!J100</f>
        <v>6960.8</v>
      </c>
      <c r="L61" s="57"/>
      <c r="M61" s="57"/>
    </row>
    <row r="62" spans="3:13">
      <c r="H62" t="s">
        <v>494</v>
      </c>
      <c r="J62" s="39">
        <f>+eventual!J50</f>
        <v>2644.4879999999998</v>
      </c>
      <c r="L62" s="57"/>
      <c r="M62" s="57"/>
    </row>
    <row r="63" spans="3:13">
      <c r="H63" t="s">
        <v>208</v>
      </c>
      <c r="J63" s="39">
        <f>+eventual!J49</f>
        <v>2404.08</v>
      </c>
      <c r="L63" s="57"/>
      <c r="M63" s="57"/>
    </row>
    <row r="64" spans="3:13">
      <c r="H64" t="s">
        <v>237</v>
      </c>
      <c r="J64" s="39">
        <f>+eventual!J71</f>
        <v>5103</v>
      </c>
      <c r="L64" s="57"/>
      <c r="M64" s="57"/>
    </row>
    <row r="65" spans="7:13">
      <c r="H65" t="s">
        <v>303</v>
      </c>
      <c r="J65" s="39">
        <f>+eventual!J153</f>
        <v>2793</v>
      </c>
      <c r="L65" s="57"/>
      <c r="M65" s="57"/>
    </row>
    <row r="66" spans="7:13">
      <c r="H66" t="s">
        <v>316</v>
      </c>
      <c r="J66" s="39">
        <f>+eventual!J182</f>
        <v>3606.12</v>
      </c>
      <c r="L66" s="57"/>
      <c r="M66" s="57"/>
    </row>
    <row r="67" spans="7:13">
      <c r="H67" t="s">
        <v>495</v>
      </c>
      <c r="J67" s="39">
        <f>+eventual!J47</f>
        <v>2404.08</v>
      </c>
      <c r="L67" s="57"/>
      <c r="M67" s="57"/>
    </row>
    <row r="68" spans="7:13">
      <c r="H68" t="s">
        <v>221</v>
      </c>
      <c r="J68" s="39">
        <f>+eventual!J58</f>
        <v>3000</v>
      </c>
      <c r="L68" s="57"/>
      <c r="M68" s="57"/>
    </row>
    <row r="69" spans="7:13" ht="15.75">
      <c r="G69" s="29"/>
      <c r="H69" s="39" t="s">
        <v>262</v>
      </c>
      <c r="J69" s="59">
        <f>+eventual!J102</f>
        <v>5760.8</v>
      </c>
      <c r="K69" s="60"/>
      <c r="L69" s="57"/>
      <c r="M69" s="57"/>
    </row>
    <row r="70" spans="7:13">
      <c r="J70" s="55">
        <f>SUM(J46:J69)</f>
        <v>87509.914400000009</v>
      </c>
      <c r="L70" s="57"/>
      <c r="M70" s="57"/>
    </row>
    <row r="71" spans="7:13">
      <c r="L71" s="57"/>
      <c r="M71" s="57"/>
    </row>
    <row r="72" spans="7:13">
      <c r="L72" s="57"/>
      <c r="M72" s="57"/>
    </row>
    <row r="73" spans="7:13">
      <c r="J73" s="39"/>
      <c r="K73" s="50"/>
      <c r="L73" s="57"/>
      <c r="M73" s="57"/>
    </row>
    <row r="74" spans="7:13">
      <c r="H74" s="58" t="s">
        <v>496</v>
      </c>
      <c r="L74" s="57"/>
      <c r="M74" s="57"/>
    </row>
    <row r="75" spans="7:13">
      <c r="J75" s="61"/>
      <c r="L75" s="57"/>
      <c r="M75" s="57"/>
    </row>
    <row r="76" spans="7:13" hidden="1">
      <c r="J76" s="56"/>
      <c r="L76" s="62"/>
      <c r="M76" s="62"/>
    </row>
    <row r="77" spans="7:13" hidden="1">
      <c r="J77" s="56"/>
      <c r="L77" s="57"/>
      <c r="M77" s="57"/>
    </row>
    <row r="78" spans="7:13">
      <c r="H78" t="s">
        <v>371</v>
      </c>
      <c r="J78" s="63">
        <f>+CONFIANZA!L37</f>
        <v>7488.3363368000009</v>
      </c>
      <c r="L78" s="57"/>
      <c r="M78" s="57"/>
    </row>
    <row r="79" spans="7:13">
      <c r="J79" s="64">
        <f>+J78</f>
        <v>7488.3363368000009</v>
      </c>
      <c r="L79" s="57"/>
      <c r="M79" s="57"/>
    </row>
    <row r="80" spans="7:13">
      <c r="L80" s="57"/>
      <c r="M80" s="57"/>
    </row>
    <row r="81" spans="8:13" ht="18.75">
      <c r="J81" s="52"/>
      <c r="L81" s="57"/>
      <c r="M81" s="57"/>
    </row>
    <row r="83" spans="8:13">
      <c r="H83" s="58" t="s">
        <v>481</v>
      </c>
      <c r="L83" s="57"/>
      <c r="M83" s="57"/>
    </row>
    <row r="84" spans="8:13">
      <c r="H84" t="s">
        <v>497</v>
      </c>
      <c r="J84" s="39">
        <f>+SINDICATO!O45</f>
        <v>3846.5393240000003</v>
      </c>
      <c r="L84" s="57"/>
    </row>
    <row r="85" spans="8:13">
      <c r="H85" t="s">
        <v>498</v>
      </c>
      <c r="J85" s="39">
        <f>+SINDICATO!O80</f>
        <v>3391.2159999999999</v>
      </c>
    </row>
    <row r="86" spans="8:13">
      <c r="H86" t="s">
        <v>499</v>
      </c>
      <c r="J86" s="54">
        <f>+SINDICATO!O16</f>
        <v>4660.1117376000002</v>
      </c>
    </row>
    <row r="87" spans="8:13" ht="15.75">
      <c r="J87" s="65">
        <f>SUM(J84:J86)</f>
        <v>11897.8670616</v>
      </c>
    </row>
    <row r="90" spans="8:13">
      <c r="H90" s="42"/>
    </row>
    <row r="91" spans="8:13">
      <c r="K91"/>
    </row>
    <row r="92" spans="8:13">
      <c r="K92"/>
    </row>
    <row r="93" spans="8:13">
      <c r="K93"/>
    </row>
    <row r="94" spans="8:13">
      <c r="K94"/>
    </row>
    <row r="95" spans="8:13">
      <c r="K95"/>
    </row>
    <row r="96" spans="8:13">
      <c r="K96"/>
    </row>
    <row r="97" spans="11:11">
      <c r="K97"/>
    </row>
    <row r="98" spans="11:11">
      <c r="K98"/>
    </row>
    <row r="99" spans="11:11">
      <c r="K99"/>
    </row>
    <row r="100" spans="11:11">
      <c r="K100"/>
    </row>
    <row r="101" spans="11:11">
      <c r="K101"/>
    </row>
    <row r="102" spans="11:11">
      <c r="K102"/>
    </row>
    <row r="103" spans="11:11">
      <c r="K103"/>
    </row>
    <row r="104" spans="11:11">
      <c r="K104"/>
    </row>
    <row r="105" spans="11:11">
      <c r="K105"/>
    </row>
    <row r="106" spans="11:11">
      <c r="K106"/>
    </row>
    <row r="107" spans="11:11">
      <c r="K107"/>
    </row>
    <row r="108" spans="11:11">
      <c r="K108"/>
    </row>
    <row r="109" spans="11:11">
      <c r="K109"/>
    </row>
    <row r="110" spans="11:11">
      <c r="K110"/>
    </row>
    <row r="111" spans="11:11">
      <c r="K111"/>
    </row>
    <row r="112" spans="11:11">
      <c r="K112"/>
    </row>
    <row r="113" spans="11:11">
      <c r="K113"/>
    </row>
    <row r="114" spans="11:11">
      <c r="K114"/>
    </row>
    <row r="115" spans="11:11">
      <c r="K115"/>
    </row>
    <row r="116" spans="11:11">
      <c r="K116"/>
    </row>
    <row r="117" spans="11:11">
      <c r="K117"/>
    </row>
    <row r="118" spans="11:11">
      <c r="K118"/>
    </row>
    <row r="119" spans="11:11">
      <c r="K119"/>
    </row>
    <row r="120" spans="11:11">
      <c r="K120"/>
    </row>
    <row r="121" spans="11:11">
      <c r="K121"/>
    </row>
    <row r="122" spans="11:11">
      <c r="K122"/>
    </row>
    <row r="123" spans="11:11">
      <c r="K123"/>
    </row>
    <row r="124" spans="11:11">
      <c r="K124"/>
    </row>
    <row r="125" spans="11:11">
      <c r="K125"/>
    </row>
    <row r="126" spans="11:11">
      <c r="K126"/>
    </row>
    <row r="127" spans="11:11">
      <c r="K127"/>
    </row>
    <row r="128" spans="11:11">
      <c r="K128"/>
    </row>
    <row r="129" spans="11:11">
      <c r="K129"/>
    </row>
    <row r="130" spans="11:11">
      <c r="K130"/>
    </row>
    <row r="131" spans="11:11">
      <c r="K131"/>
    </row>
    <row r="132" spans="11:11">
      <c r="K132"/>
    </row>
    <row r="133" spans="11:11">
      <c r="K133"/>
    </row>
    <row r="134" spans="11:11">
      <c r="K134"/>
    </row>
    <row r="135" spans="11:11">
      <c r="K135"/>
    </row>
    <row r="136" spans="11:11">
      <c r="K136"/>
    </row>
    <row r="137" spans="11:11">
      <c r="K137"/>
    </row>
    <row r="138" spans="11:11">
      <c r="K138"/>
    </row>
    <row r="139" spans="11:11">
      <c r="K139"/>
    </row>
    <row r="140" spans="11:11">
      <c r="K140"/>
    </row>
    <row r="141" spans="11:11">
      <c r="K141"/>
    </row>
    <row r="142" spans="11:11">
      <c r="K142"/>
    </row>
    <row r="143" spans="11:11">
      <c r="K143"/>
    </row>
    <row r="144" spans="11:11">
      <c r="K144"/>
    </row>
    <row r="145" spans="11:11">
      <c r="K145"/>
    </row>
  </sheetData>
  <mergeCells count="2">
    <mergeCell ref="H1:J1"/>
    <mergeCell ref="D3:E3"/>
  </mergeCells>
  <pageMargins left="0" right="0.15748031496063" top="0.55118110236220497" bottom="0.55118110236220497" header="0.98425196850393704" footer="0.31496062992126"/>
  <pageSetup scale="8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>
      <selection activeCell="E6" sqref="E6:G20"/>
    </sheetView>
  </sheetViews>
  <sheetFormatPr baseColWidth="10" defaultColWidth="11" defaultRowHeight="15"/>
  <cols>
    <col min="5" max="6" width="11.42578125" customWidth="1"/>
  </cols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3:J17"/>
  <sheetViews>
    <sheetView topLeftCell="A4" zoomScale="145" zoomScaleNormal="145" workbookViewId="0">
      <selection activeCell="C17" sqref="C17"/>
    </sheetView>
  </sheetViews>
  <sheetFormatPr baseColWidth="10" defaultColWidth="11" defaultRowHeight="15"/>
  <cols>
    <col min="1" max="8" width="11.42578125" customWidth="1"/>
    <col min="9" max="9" width="27.7109375" customWidth="1"/>
    <col min="10" max="13" width="11.42578125" customWidth="1"/>
  </cols>
  <sheetData>
    <row r="3" spans="1:10" ht="15.75">
      <c r="A3" s="21" t="s">
        <v>500</v>
      </c>
    </row>
    <row r="4" spans="1:10">
      <c r="A4" s="22" t="s">
        <v>501</v>
      </c>
      <c r="B4" s="22" t="s">
        <v>502</v>
      </c>
      <c r="C4" s="22" t="s">
        <v>503</v>
      </c>
      <c r="D4" s="22" t="s">
        <v>504</v>
      </c>
    </row>
    <row r="5" spans="1:10">
      <c r="A5" s="22"/>
      <c r="B5" s="22"/>
      <c r="C5" s="22"/>
      <c r="D5" s="22" t="s">
        <v>505</v>
      </c>
    </row>
    <row r="6" spans="1:10">
      <c r="A6" s="22" t="s">
        <v>506</v>
      </c>
      <c r="B6" s="22" t="s">
        <v>506</v>
      </c>
      <c r="C6" s="22" t="s">
        <v>506</v>
      </c>
      <c r="D6" s="22" t="s">
        <v>507</v>
      </c>
    </row>
    <row r="7" spans="1:10">
      <c r="A7" s="22">
        <v>0.01</v>
      </c>
      <c r="B7" s="22">
        <v>368.1</v>
      </c>
      <c r="C7" s="22">
        <v>0</v>
      </c>
      <c r="D7" s="23">
        <v>1.9199999999999998E-2</v>
      </c>
      <c r="I7" s="26"/>
      <c r="J7" s="26"/>
    </row>
    <row r="8" spans="1:10">
      <c r="A8" s="22">
        <v>368.11</v>
      </c>
      <c r="B8" s="24">
        <v>3124.35</v>
      </c>
      <c r="C8" s="22">
        <v>7.05</v>
      </c>
      <c r="D8" s="23">
        <v>6.4000000000000001E-2</v>
      </c>
      <c r="I8" s="26"/>
      <c r="J8" s="26"/>
    </row>
    <row r="9" spans="1:10">
      <c r="A9" s="24">
        <v>3124.36</v>
      </c>
      <c r="B9" s="24">
        <v>5490.75</v>
      </c>
      <c r="C9" s="22">
        <v>183.45</v>
      </c>
      <c r="D9" s="23">
        <v>0.10879999999999999</v>
      </c>
      <c r="I9" s="26"/>
      <c r="J9" s="26"/>
    </row>
    <row r="10" spans="1:10">
      <c r="A10" s="24">
        <v>5490.76</v>
      </c>
      <c r="B10" s="24">
        <v>6382.8</v>
      </c>
      <c r="C10" s="22">
        <v>441</v>
      </c>
      <c r="D10" s="25">
        <v>0.16</v>
      </c>
      <c r="I10" s="27"/>
      <c r="J10" s="26"/>
    </row>
    <row r="11" spans="1:10">
      <c r="A11" s="24">
        <v>6382.81</v>
      </c>
      <c r="B11" s="24">
        <v>7641.9</v>
      </c>
      <c r="C11" s="22">
        <v>583.65</v>
      </c>
      <c r="D11" s="23">
        <v>0.1792</v>
      </c>
      <c r="I11" s="26"/>
      <c r="J11" s="26"/>
    </row>
    <row r="12" spans="1:10">
      <c r="A12" s="24">
        <v>7641.91</v>
      </c>
      <c r="B12" s="24">
        <v>15412.8</v>
      </c>
      <c r="C12" s="22">
        <v>809.25</v>
      </c>
      <c r="D12" s="23">
        <v>0.21360000000000001</v>
      </c>
      <c r="I12" s="26"/>
      <c r="J12" s="26"/>
    </row>
    <row r="13" spans="1:10">
      <c r="A13" s="24">
        <v>15412.81</v>
      </c>
      <c r="B13" s="24">
        <v>24292.65</v>
      </c>
      <c r="C13" s="24">
        <v>2469.15</v>
      </c>
      <c r="D13" s="23">
        <v>0.23519999999999999</v>
      </c>
      <c r="I13" s="26"/>
      <c r="J13" s="26"/>
    </row>
    <row r="14" spans="1:10">
      <c r="A14" s="24">
        <v>24292.66</v>
      </c>
      <c r="B14" s="24">
        <v>46378.5</v>
      </c>
      <c r="C14" s="24">
        <v>4557.75</v>
      </c>
      <c r="D14" s="25">
        <v>0.3</v>
      </c>
      <c r="I14" s="27"/>
      <c r="J14" s="26"/>
    </row>
    <row r="15" spans="1:10">
      <c r="A15" s="24">
        <v>46378.51</v>
      </c>
      <c r="B15" s="24">
        <v>61838.1</v>
      </c>
      <c r="C15" s="24">
        <v>11183.4</v>
      </c>
      <c r="D15" s="25">
        <v>0.32</v>
      </c>
      <c r="I15" s="27"/>
      <c r="J15" s="26"/>
    </row>
    <row r="16" spans="1:10">
      <c r="A16" s="24">
        <v>61838.11</v>
      </c>
      <c r="B16" s="24">
        <v>185514.3</v>
      </c>
      <c r="C16" s="24">
        <v>16130.55</v>
      </c>
      <c r="D16" s="25">
        <v>0.34</v>
      </c>
      <c r="I16" s="27"/>
      <c r="J16" s="26"/>
    </row>
    <row r="17" spans="1:10">
      <c r="A17" s="24">
        <v>185514.31</v>
      </c>
      <c r="B17" s="22">
        <v>9999999</v>
      </c>
      <c r="C17" s="24">
        <v>58180.35</v>
      </c>
      <c r="D17" s="25">
        <v>0.35</v>
      </c>
      <c r="I17" s="27"/>
      <c r="J17" s="26"/>
    </row>
  </sheetData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SINDICATO</vt:lpstr>
      <vt:lpstr>SEGURIDAD </vt:lpstr>
      <vt:lpstr>eventual</vt:lpstr>
      <vt:lpstr>CONFIANZA</vt:lpstr>
      <vt:lpstr>delegados 2023</vt:lpstr>
      <vt:lpstr>OP</vt:lpstr>
      <vt:lpstr>BANORTE </vt:lpstr>
      <vt:lpstr>Hoja1</vt:lpstr>
      <vt:lpstr>ISR</vt:lpstr>
      <vt:lpstr>Nos vemos segura</vt:lpstr>
      <vt:lpstr>Secovin</vt:lpstr>
      <vt:lpstr>'BANORTE '!Área_de_impresión</vt:lpstr>
      <vt:lpstr>CONFIANZA!Área_de_impresión</vt:lpstr>
      <vt:lpstr>'delegados 2023'!Área_de_impresión</vt:lpstr>
      <vt:lpstr>eventual!Área_de_impresión</vt:lpstr>
      <vt:lpstr>OP!Área_de_impresión</vt:lpstr>
      <vt:lpstr>'SEGURIDAD '!Área_de_impresión</vt:lpstr>
      <vt:lpstr>SINDICATO!Área_de_impresión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RAUL CALDERON ZEPEDA</dc:creator>
  <cp:lastModifiedBy>Alfredo</cp:lastModifiedBy>
  <cp:lastPrinted>2024-03-27T17:31:38Z</cp:lastPrinted>
  <dcterms:created xsi:type="dcterms:W3CDTF">2016-01-14T15:40:00Z</dcterms:created>
  <dcterms:modified xsi:type="dcterms:W3CDTF">2024-06-17T19:27:54Z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CA3B8E49F52D4E17B1BC9073839F4458_12</vt:lpwstr>
  </property>
  <property fmtid="{D5CDD505-2E9C-101B-9397-08002B2CF9AE}" pid="3" name="KSOProductBuildVer">
    <vt:lpwstr>2058-12.2.0.13431</vt:lpwstr>
  </property>
</Properties>
</file>