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8925" tabRatio="685" activeTab="3"/>
  </bookViews>
  <sheets>
    <sheet name="SINDICATO" sheetId="52" r:id="rId1"/>
    <sheet name="seg.pub.2022" sheetId="44" r:id="rId2"/>
    <sheet name="eventual" sheetId="27" r:id="rId3"/>
    <sheet name="CONFIANZA" sheetId="13" r:id="rId4"/>
    <sheet name="delegados 2022" sheetId="20" r:id="rId5"/>
    <sheet name="OP" sheetId="47" r:id="rId6"/>
    <sheet name="BANORTE " sheetId="46" r:id="rId7"/>
    <sheet name="ISR" sheetId="49" r:id="rId8"/>
    <sheet name="Nos vemos segura" sheetId="53" state="hidden" r:id="rId9"/>
    <sheet name="Secovin" sheetId="55" state="hidden" r:id="rId10"/>
  </sheets>
  <definedNames>
    <definedName name="_xlnm.Print_Area" localSheetId="6">'BANORTE '!$C$3:$E$39</definedName>
    <definedName name="_xlnm.Print_Area" localSheetId="3">CONFIANZA!$B$109:$O$143</definedName>
    <definedName name="_xlnm.Print_Area" localSheetId="4">'delegados 2022'!$D$1:$L$44</definedName>
    <definedName name="_xlnm.Print_Area" localSheetId="2">eventual!$B$127:$K$187</definedName>
    <definedName name="_xlnm.Print_Area" localSheetId="5">OP!$B$1:$D$99</definedName>
    <definedName name="_xlnm.Print_Area" localSheetId="1">seg.pub.2022!$B$39:$S$56</definedName>
    <definedName name="_xlnm.Print_Area" localSheetId="0">SINDICATO!$B$68:$R$99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8" i="46" l="1"/>
  <c r="J71" i="46"/>
  <c r="J58" i="46"/>
  <c r="J34" i="46"/>
  <c r="J19" i="46"/>
  <c r="J18" i="46"/>
  <c r="J4" i="46"/>
  <c r="O103" i="52"/>
  <c r="H180" i="27"/>
  <c r="G180" i="27"/>
  <c r="I180" i="27"/>
  <c r="J75" i="46"/>
  <c r="J76" i="46" s="1"/>
  <c r="J70" i="46"/>
  <c r="H71" i="27"/>
  <c r="J125" i="13"/>
  <c r="H53" i="27"/>
  <c r="H39" i="27"/>
  <c r="L62" i="52"/>
  <c r="I59" i="52" l="1"/>
  <c r="I57" i="52"/>
  <c r="I60" i="52"/>
  <c r="I62" i="52"/>
  <c r="G62" i="27"/>
  <c r="I89" i="52"/>
  <c r="G69" i="27"/>
  <c r="G59" i="27"/>
  <c r="G22" i="27"/>
  <c r="G24" i="27"/>
  <c r="I36" i="52"/>
  <c r="I37" i="52"/>
  <c r="J40" i="46"/>
  <c r="I56" i="52"/>
  <c r="I79" i="52"/>
  <c r="G111" i="27"/>
  <c r="G113" i="27"/>
  <c r="G26" i="27"/>
  <c r="H23" i="52"/>
  <c r="J90" i="52" l="1"/>
  <c r="J89" i="52"/>
  <c r="J86" i="52"/>
  <c r="J83" i="52"/>
  <c r="J80" i="52"/>
  <c r="J79" i="52"/>
  <c r="J78" i="52"/>
  <c r="J75" i="52"/>
  <c r="J72" i="52"/>
  <c r="J66" i="52"/>
  <c r="J65" i="52"/>
  <c r="J62" i="52"/>
  <c r="J61" i="52"/>
  <c r="J60" i="52"/>
  <c r="J59" i="52"/>
  <c r="J58" i="52"/>
  <c r="J57" i="52"/>
  <c r="J56" i="52"/>
  <c r="J53" i="52"/>
  <c r="J52" i="52"/>
  <c r="J51" i="52"/>
  <c r="J50" i="52"/>
  <c r="O50" i="52" s="1"/>
  <c r="J49" i="52"/>
  <c r="J48" i="52"/>
  <c r="J47" i="52"/>
  <c r="J46" i="52"/>
  <c r="J45" i="52"/>
  <c r="J44" i="52"/>
  <c r="J43" i="52"/>
  <c r="J37" i="52"/>
  <c r="J36" i="52"/>
  <c r="J35" i="52"/>
  <c r="J34" i="52"/>
  <c r="J33" i="52"/>
  <c r="J30" i="52"/>
  <c r="J27" i="52"/>
  <c r="J26" i="52"/>
  <c r="J25" i="52"/>
  <c r="J24" i="52"/>
  <c r="J23" i="52"/>
  <c r="O23" i="52" s="1"/>
  <c r="J22" i="52"/>
  <c r="J19" i="52"/>
  <c r="J18" i="52"/>
  <c r="J15" i="52"/>
  <c r="J14" i="52"/>
  <c r="J13" i="52"/>
  <c r="J10" i="52"/>
  <c r="H24" i="52" l="1"/>
  <c r="O24" i="52" s="1"/>
  <c r="H25" i="52"/>
  <c r="O25" i="52" s="1"/>
  <c r="H26" i="52"/>
  <c r="O26" i="52" s="1"/>
  <c r="H27" i="52"/>
  <c r="O27" i="52" s="1"/>
  <c r="H30" i="52"/>
  <c r="O30" i="52" s="1"/>
  <c r="O31" i="52" s="1"/>
  <c r="H33" i="52"/>
  <c r="O33" i="52" s="1"/>
  <c r="H34" i="52"/>
  <c r="O34" i="52" s="1"/>
  <c r="H35" i="52"/>
  <c r="O35" i="52" s="1"/>
  <c r="H36" i="52"/>
  <c r="O36" i="52" s="1"/>
  <c r="H37" i="52"/>
  <c r="O37" i="52" s="1"/>
  <c r="H43" i="52"/>
  <c r="O43" i="52" s="1"/>
  <c r="H44" i="52"/>
  <c r="H45" i="52"/>
  <c r="O45" i="52" s="1"/>
  <c r="H46" i="52"/>
  <c r="O46" i="52" s="1"/>
  <c r="H47" i="52"/>
  <c r="O47" i="52" s="1"/>
  <c r="H48" i="52"/>
  <c r="O48" i="52" s="1"/>
  <c r="H49" i="52"/>
  <c r="O49" i="52" s="1"/>
  <c r="H51" i="52"/>
  <c r="O51" i="52" s="1"/>
  <c r="H52" i="52"/>
  <c r="O52" i="52" s="1"/>
  <c r="H53" i="52"/>
  <c r="O53" i="52" s="1"/>
  <c r="H56" i="52"/>
  <c r="O56" i="52" s="1"/>
  <c r="H57" i="52"/>
  <c r="O57" i="52" s="1"/>
  <c r="H58" i="52"/>
  <c r="O58" i="52" s="1"/>
  <c r="H59" i="52"/>
  <c r="O59" i="52" s="1"/>
  <c r="H60" i="52"/>
  <c r="O60" i="52" s="1"/>
  <c r="H61" i="52"/>
  <c r="O61" i="52" s="1"/>
  <c r="H62" i="52"/>
  <c r="O62" i="52" s="1"/>
  <c r="H65" i="52"/>
  <c r="O65" i="52" s="1"/>
  <c r="H66" i="52"/>
  <c r="O66" i="52" s="1"/>
  <c r="H72" i="52"/>
  <c r="O72" i="52" s="1"/>
  <c r="O73" i="52" s="1"/>
  <c r="H75" i="52"/>
  <c r="O75" i="52" s="1"/>
  <c r="O76" i="52" s="1"/>
  <c r="H78" i="52"/>
  <c r="O78" i="52" s="1"/>
  <c r="H79" i="52"/>
  <c r="O79" i="52" s="1"/>
  <c r="H80" i="52"/>
  <c r="O80" i="52" s="1"/>
  <c r="H83" i="52"/>
  <c r="O83" i="52" s="1"/>
  <c r="O84" i="52" s="1"/>
  <c r="H86" i="52"/>
  <c r="O86" i="52" s="1"/>
  <c r="O87" i="52" s="1"/>
  <c r="H89" i="52"/>
  <c r="O89" i="52" s="1"/>
  <c r="H90" i="52"/>
  <c r="O90" i="52" s="1"/>
  <c r="I91" i="52"/>
  <c r="F177" i="27"/>
  <c r="H22" i="52"/>
  <c r="O22" i="52" s="1"/>
  <c r="H19" i="52"/>
  <c r="O19" i="52" s="1"/>
  <c r="H18" i="52"/>
  <c r="O18" i="52" s="1"/>
  <c r="H15" i="52"/>
  <c r="O15" i="52" s="1"/>
  <c r="H14" i="52"/>
  <c r="O14" i="52" s="1"/>
  <c r="H13" i="52"/>
  <c r="O13" i="52" s="1"/>
  <c r="O16" i="52" s="1"/>
  <c r="H10" i="52"/>
  <c r="O10" i="52" s="1"/>
  <c r="O11" i="52" s="1"/>
  <c r="E91" i="52"/>
  <c r="E67" i="52"/>
  <c r="O20" i="52" l="1"/>
  <c r="O38" i="52"/>
  <c r="H54" i="52"/>
  <c r="O44" i="52"/>
  <c r="O54" i="52" s="1"/>
  <c r="O91" i="52"/>
  <c r="O63" i="52"/>
  <c r="O81" i="52"/>
  <c r="O67" i="52"/>
  <c r="O28" i="52"/>
  <c r="G63" i="27" l="1"/>
  <c r="J162" i="27"/>
  <c r="J117" i="27"/>
  <c r="J66" i="27"/>
  <c r="J13" i="27"/>
  <c r="J89" i="27"/>
  <c r="J68" i="27"/>
  <c r="J45" i="27"/>
  <c r="G134" i="13"/>
  <c r="G135" i="13" s="1"/>
  <c r="I63" i="27"/>
  <c r="H63" i="27"/>
  <c r="F63" i="27"/>
  <c r="K135" i="13"/>
  <c r="J135" i="13"/>
  <c r="I135" i="13"/>
  <c r="H135" i="13"/>
  <c r="F135" i="13"/>
  <c r="H160" i="27"/>
  <c r="I177" i="27"/>
  <c r="H177" i="27"/>
  <c r="G177" i="27"/>
  <c r="J176" i="27"/>
  <c r="J177" i="27" s="1"/>
  <c r="L134" i="13" l="1"/>
  <c r="L135" i="13" s="1"/>
  <c r="I63" i="52"/>
  <c r="J87" i="13"/>
  <c r="K120" i="13" l="1"/>
  <c r="J120" i="13"/>
  <c r="I120" i="13"/>
  <c r="H120" i="13"/>
  <c r="F120" i="13"/>
  <c r="G119" i="13"/>
  <c r="G120" i="13" s="1"/>
  <c r="F18" i="27"/>
  <c r="L119" i="13" l="1"/>
  <c r="L120" i="13" s="1"/>
  <c r="F57" i="13"/>
  <c r="F115" i="27" l="1"/>
  <c r="F123" i="27"/>
  <c r="G140" i="27"/>
  <c r="H140" i="27"/>
  <c r="I140" i="27"/>
  <c r="F140" i="27"/>
  <c r="G169" i="27"/>
  <c r="H169" i="27"/>
  <c r="I169" i="27"/>
  <c r="F169" i="27"/>
  <c r="I173" i="27"/>
  <c r="H173" i="27"/>
  <c r="G173" i="27"/>
  <c r="F173" i="27"/>
  <c r="J172" i="27"/>
  <c r="J173" i="27" s="1"/>
  <c r="J167" i="27"/>
  <c r="J137" i="27"/>
  <c r="H108" i="13"/>
  <c r="H14" i="27"/>
  <c r="H19" i="55" l="1"/>
  <c r="F57" i="27"/>
  <c r="J31" i="27"/>
  <c r="I29" i="27" l="1"/>
  <c r="H29" i="27"/>
  <c r="G29" i="27"/>
  <c r="F29" i="27"/>
  <c r="J28" i="27"/>
  <c r="J31" i="46" l="1"/>
  <c r="J32" i="27"/>
  <c r="G33" i="27"/>
  <c r="J33" i="27" l="1"/>
  <c r="H63" i="13"/>
  <c r="G57" i="27"/>
  <c r="I18" i="53"/>
  <c r="F164" i="27"/>
  <c r="G18" i="44"/>
  <c r="G17" i="44"/>
  <c r="I57" i="27"/>
  <c r="J14" i="27" l="1"/>
  <c r="J62" i="27"/>
  <c r="J59" i="27"/>
  <c r="G18" i="27"/>
  <c r="G29" i="13"/>
  <c r="L29" i="13" s="1"/>
  <c r="E50" i="44"/>
  <c r="E81" i="52"/>
  <c r="E63" i="52"/>
  <c r="E54" i="52"/>
  <c r="E38" i="52"/>
  <c r="E28" i="52"/>
  <c r="E20" i="52"/>
  <c r="E16" i="52"/>
  <c r="J63" i="27" l="1"/>
  <c r="H57" i="27"/>
  <c r="F14" i="27"/>
  <c r="F11" i="27"/>
  <c r="J20" i="27" l="1"/>
  <c r="J10" i="27"/>
  <c r="J9" i="27"/>
  <c r="J168" i="27"/>
  <c r="N63" i="52"/>
  <c r="M63" i="52"/>
  <c r="L63" i="52"/>
  <c r="G63" i="52"/>
  <c r="M54" i="52"/>
  <c r="N38" i="52"/>
  <c r="I38" i="52"/>
  <c r="G38" i="52"/>
  <c r="J77" i="27"/>
  <c r="J52" i="27"/>
  <c r="F135" i="27"/>
  <c r="F157" i="27"/>
  <c r="F160" i="27"/>
  <c r="C52" i="27"/>
  <c r="I69" i="13"/>
  <c r="I72" i="27"/>
  <c r="I18" i="27"/>
  <c r="I11" i="27"/>
  <c r="I14" i="27"/>
  <c r="K28" i="52"/>
  <c r="I67" i="52"/>
  <c r="I81" i="52"/>
  <c r="J63" i="46" l="1"/>
  <c r="J169" i="27"/>
  <c r="J11" i="27"/>
  <c r="G16" i="52"/>
  <c r="G72" i="27"/>
  <c r="J22" i="27"/>
  <c r="J120" i="27" l="1"/>
  <c r="W11" i="27"/>
  <c r="G115" i="27"/>
  <c r="J53" i="27"/>
  <c r="H115" i="27"/>
  <c r="J48" i="27"/>
  <c r="I164" i="27"/>
  <c r="H164" i="27"/>
  <c r="G164" i="27"/>
  <c r="I151" i="27"/>
  <c r="H151" i="27"/>
  <c r="G151" i="27"/>
  <c r="G135" i="27"/>
  <c r="H135" i="27"/>
  <c r="I135" i="27"/>
  <c r="I132" i="27"/>
  <c r="H132" i="27"/>
  <c r="G132" i="27"/>
  <c r="I123" i="27"/>
  <c r="I118" i="27"/>
  <c r="H118" i="27"/>
  <c r="I115" i="27"/>
  <c r="I97" i="27"/>
  <c r="I85" i="27"/>
  <c r="H85" i="27"/>
  <c r="H75" i="27"/>
  <c r="H72" i="27"/>
  <c r="H11" i="27"/>
  <c r="G11" i="27"/>
  <c r="F105" i="27"/>
  <c r="F97" i="27"/>
  <c r="G85" i="27"/>
  <c r="F85" i="27"/>
  <c r="F72" i="27"/>
  <c r="J60" i="46"/>
  <c r="J50" i="27"/>
  <c r="J65" i="46" s="1"/>
  <c r="J69" i="27"/>
  <c r="I157" i="27"/>
  <c r="H157" i="27"/>
  <c r="G157" i="27"/>
  <c r="J138" i="27"/>
  <c r="J82" i="27"/>
  <c r="J61" i="46" s="1"/>
  <c r="J51" i="27"/>
  <c r="J59" i="46" s="1"/>
  <c r="J23" i="27"/>
  <c r="J56" i="46" s="1"/>
  <c r="J67" i="27"/>
  <c r="J55" i="46" s="1"/>
  <c r="J25" i="27"/>
  <c r="J53" i="46" s="1"/>
  <c r="J24" i="27"/>
  <c r="J159" i="27"/>
  <c r="J50" i="46" s="1"/>
  <c r="J48" i="46"/>
  <c r="J47" i="46"/>
  <c r="J54" i="27"/>
  <c r="J44" i="46" s="1"/>
  <c r="J26" i="27"/>
  <c r="J43" i="46" s="1"/>
  <c r="J70" i="27"/>
  <c r="J42" i="46" s="1"/>
  <c r="J113" i="27"/>
  <c r="J41" i="46" s="1"/>
  <c r="J55" i="27"/>
  <c r="E11" i="52"/>
  <c r="J40" i="27"/>
  <c r="J39" i="27"/>
  <c r="J163" i="27"/>
  <c r="J164" i="27" s="1"/>
  <c r="I160" i="27"/>
  <c r="G160" i="27"/>
  <c r="J156" i="27"/>
  <c r="J64" i="46" l="1"/>
  <c r="J62" i="46"/>
  <c r="J46" i="46"/>
  <c r="J52" i="46"/>
  <c r="J111" i="27"/>
  <c r="J57" i="46" s="1"/>
  <c r="J160" i="27"/>
  <c r="J49" i="27"/>
  <c r="J51" i="46" s="1"/>
  <c r="J157" i="27"/>
  <c r="F151" i="27"/>
  <c r="J151" i="27" s="1"/>
  <c r="J150" i="27"/>
  <c r="G118" i="27"/>
  <c r="G75" i="27"/>
  <c r="J66" i="46" l="1"/>
  <c r="K108" i="13"/>
  <c r="J108" i="13"/>
  <c r="I108" i="13"/>
  <c r="F108" i="13"/>
  <c r="G107" i="13"/>
  <c r="G108" i="13" s="1"/>
  <c r="G38" i="44"/>
  <c r="Q38" i="44" s="1"/>
  <c r="G37" i="44"/>
  <c r="Q37" i="44" s="1"/>
  <c r="J11" i="46" s="1"/>
  <c r="G36" i="44"/>
  <c r="Q36" i="44" s="1"/>
  <c r="G22" i="44"/>
  <c r="Q22" i="44" s="1"/>
  <c r="G21" i="44"/>
  <c r="Q21" i="44" s="1"/>
  <c r="G20" i="44"/>
  <c r="Q20" i="44" s="1"/>
  <c r="J13" i="46" s="1"/>
  <c r="L107" i="13" l="1"/>
  <c r="L108" i="13" s="1"/>
  <c r="F147" i="27"/>
  <c r="J42" i="27"/>
  <c r="J43" i="27"/>
  <c r="J44" i="27"/>
  <c r="F43" i="13" l="1"/>
  <c r="G16" i="13"/>
  <c r="L16" i="13" s="1"/>
  <c r="J65" i="27"/>
  <c r="J139" i="27" l="1"/>
  <c r="J140" i="27" s="1"/>
  <c r="G48" i="44" l="1"/>
  <c r="Q48" i="44" s="1"/>
  <c r="G47" i="44"/>
  <c r="Q47" i="44" s="1"/>
  <c r="G46" i="44"/>
  <c r="Q46" i="44" s="1"/>
  <c r="J9" i="46" s="1"/>
  <c r="G45" i="44"/>
  <c r="Q45" i="44" s="1"/>
  <c r="J121" i="27" l="1"/>
  <c r="N50" i="44" l="1"/>
  <c r="L128" i="13" l="1"/>
  <c r="J92" i="27" l="1"/>
  <c r="J90" i="27"/>
  <c r="G19" i="44"/>
  <c r="Q19" i="44" s="1"/>
  <c r="F126" i="27"/>
  <c r="F75" i="27"/>
  <c r="K79" i="13"/>
  <c r="J79" i="13"/>
  <c r="I79" i="13"/>
  <c r="H79" i="13"/>
  <c r="F79" i="13"/>
  <c r="G78" i="13"/>
  <c r="G79" i="13" s="1"/>
  <c r="O50" i="44"/>
  <c r="G35" i="44"/>
  <c r="Q35" i="44" s="1"/>
  <c r="G34" i="44"/>
  <c r="Q34" i="44" s="1"/>
  <c r="G33" i="44"/>
  <c r="Q33" i="44" s="1"/>
  <c r="G32" i="44"/>
  <c r="Q32" i="44" s="1"/>
  <c r="L78" i="13" l="1"/>
  <c r="L79" i="13" s="1"/>
  <c r="J46" i="27" l="1"/>
  <c r="M38" i="52" l="1"/>
  <c r="L38" i="52"/>
  <c r="K38" i="52"/>
  <c r="N67" i="52"/>
  <c r="M67" i="52"/>
  <c r="L67" i="52"/>
  <c r="K67" i="52"/>
  <c r="G67" i="52"/>
  <c r="F67" i="52"/>
  <c r="J94" i="27"/>
  <c r="J67" i="52" l="1"/>
  <c r="H67" i="52" l="1"/>
  <c r="J134" i="27" l="1"/>
  <c r="J135" i="27" s="1"/>
  <c r="G44" i="44"/>
  <c r="G43" i="44"/>
  <c r="G42" i="44"/>
  <c r="Q42" i="44" s="1"/>
  <c r="Q43" i="44" l="1"/>
  <c r="J8" i="46" s="1"/>
  <c r="Q44" i="44"/>
  <c r="J10" i="46" s="1"/>
  <c r="J104" i="27" l="1"/>
  <c r="J103" i="27"/>
  <c r="J102" i="27"/>
  <c r="J105" i="27" l="1"/>
  <c r="J74" i="27"/>
  <c r="J75" i="27" s="1"/>
  <c r="J21" i="27"/>
  <c r="F143" i="27"/>
  <c r="J143" i="27" s="1"/>
  <c r="J142" i="27"/>
  <c r="H123" i="27"/>
  <c r="J16" i="27"/>
  <c r="J18" i="27" s="1"/>
  <c r="G14" i="27"/>
  <c r="J35" i="46" l="1"/>
  <c r="I11" i="13"/>
  <c r="J35" i="20" l="1"/>
  <c r="K132" i="13"/>
  <c r="J132" i="13"/>
  <c r="I132" i="13"/>
  <c r="H132" i="13"/>
  <c r="F132" i="13"/>
  <c r="G131" i="13"/>
  <c r="K126" i="13"/>
  <c r="J126" i="13"/>
  <c r="I126" i="13"/>
  <c r="H126" i="13"/>
  <c r="F126" i="13"/>
  <c r="G125" i="13"/>
  <c r="G126" i="13" s="1"/>
  <c r="K123" i="13"/>
  <c r="J123" i="13"/>
  <c r="I123" i="13"/>
  <c r="H123" i="13"/>
  <c r="F123" i="13"/>
  <c r="G122" i="13"/>
  <c r="G123" i="13" s="1"/>
  <c r="K117" i="13"/>
  <c r="J117" i="13"/>
  <c r="I117" i="13"/>
  <c r="H117" i="13"/>
  <c r="F117" i="13"/>
  <c r="G116" i="13"/>
  <c r="G117" i="13" s="1"/>
  <c r="K114" i="13"/>
  <c r="J114" i="13"/>
  <c r="I114" i="13"/>
  <c r="H114" i="13"/>
  <c r="F114" i="13"/>
  <c r="G113" i="13"/>
  <c r="L113" i="13" s="1"/>
  <c r="L114" i="13" s="1"/>
  <c r="K105" i="13"/>
  <c r="J105" i="13"/>
  <c r="I105" i="13"/>
  <c r="H105" i="13"/>
  <c r="F105" i="13"/>
  <c r="G104" i="13"/>
  <c r="L104" i="13" s="1"/>
  <c r="K102" i="13"/>
  <c r="J102" i="13"/>
  <c r="I102" i="13"/>
  <c r="H102" i="13"/>
  <c r="F102" i="13"/>
  <c r="G101" i="13"/>
  <c r="G102" i="13" s="1"/>
  <c r="K99" i="13"/>
  <c r="J99" i="13"/>
  <c r="I99" i="13"/>
  <c r="H99" i="13"/>
  <c r="F99" i="13"/>
  <c r="G98" i="13"/>
  <c r="L98" i="13" s="1"/>
  <c r="L99" i="13" s="1"/>
  <c r="K96" i="13"/>
  <c r="J96" i="13"/>
  <c r="I96" i="13"/>
  <c r="H96" i="13"/>
  <c r="H140" i="13" s="1"/>
  <c r="F96" i="13"/>
  <c r="G95" i="13"/>
  <c r="L95" i="13" s="1"/>
  <c r="L96" i="13" s="1"/>
  <c r="K93" i="13"/>
  <c r="J93" i="13"/>
  <c r="I93" i="13"/>
  <c r="H93" i="13"/>
  <c r="F93" i="13"/>
  <c r="G92" i="13"/>
  <c r="G93" i="13" s="1"/>
  <c r="K90" i="13"/>
  <c r="J90" i="13"/>
  <c r="I90" i="13"/>
  <c r="H90" i="13"/>
  <c r="F90" i="13"/>
  <c r="G89" i="13"/>
  <c r="G90" i="13" s="1"/>
  <c r="K87" i="13"/>
  <c r="I87" i="13"/>
  <c r="H87" i="13"/>
  <c r="F87" i="13"/>
  <c r="G86" i="13"/>
  <c r="G87" i="13" s="1"/>
  <c r="K76" i="13"/>
  <c r="J76" i="13"/>
  <c r="I76" i="13"/>
  <c r="H76" i="13"/>
  <c r="F76" i="13"/>
  <c r="G75" i="13"/>
  <c r="L75" i="13" s="1"/>
  <c r="K73" i="13"/>
  <c r="J73" i="13"/>
  <c r="I73" i="13"/>
  <c r="H73" i="13"/>
  <c r="F73" i="13"/>
  <c r="G72" i="13"/>
  <c r="G73" i="13" s="1"/>
  <c r="K69" i="13"/>
  <c r="J69" i="13"/>
  <c r="H69" i="13"/>
  <c r="F69" i="13"/>
  <c r="G68" i="13"/>
  <c r="F66" i="13"/>
  <c r="G65" i="13"/>
  <c r="G66" i="13" s="1"/>
  <c r="K63" i="13"/>
  <c r="K66" i="13" s="1"/>
  <c r="J63" i="13"/>
  <c r="J66" i="13" s="1"/>
  <c r="I63" i="13"/>
  <c r="I66" i="13" s="1"/>
  <c r="F63" i="13"/>
  <c r="G62" i="13"/>
  <c r="K60" i="13"/>
  <c r="J60" i="13"/>
  <c r="I60" i="13"/>
  <c r="H60" i="13"/>
  <c r="F60" i="13"/>
  <c r="G59" i="13"/>
  <c r="L59" i="13" s="1"/>
  <c r="L60" i="13" s="1"/>
  <c r="K57" i="13"/>
  <c r="J57" i="13"/>
  <c r="I57" i="13"/>
  <c r="H57" i="13"/>
  <c r="G56" i="13"/>
  <c r="L56" i="13" s="1"/>
  <c r="L57" i="13" s="1"/>
  <c r="K49" i="13"/>
  <c r="J49" i="13"/>
  <c r="I49" i="13"/>
  <c r="H49" i="13"/>
  <c r="F49" i="13"/>
  <c r="G48" i="13"/>
  <c r="G49" i="13" s="1"/>
  <c r="K46" i="13"/>
  <c r="J46" i="13"/>
  <c r="I46" i="13"/>
  <c r="H46" i="13"/>
  <c r="F46" i="13"/>
  <c r="G45" i="13"/>
  <c r="G46" i="13" s="1"/>
  <c r="K43" i="13"/>
  <c r="J43" i="13"/>
  <c r="I43" i="13"/>
  <c r="H43" i="13"/>
  <c r="G42" i="13"/>
  <c r="L42" i="13" s="1"/>
  <c r="G41" i="13"/>
  <c r="K39" i="13"/>
  <c r="J39" i="13"/>
  <c r="I39" i="13"/>
  <c r="H39" i="13"/>
  <c r="F39" i="13"/>
  <c r="G38" i="13"/>
  <c r="L38" i="13" s="1"/>
  <c r="G37" i="13"/>
  <c r="K35" i="13"/>
  <c r="J35" i="13"/>
  <c r="I35" i="13"/>
  <c r="H35" i="13"/>
  <c r="F35" i="13"/>
  <c r="G34" i="13"/>
  <c r="L34" i="13" s="1"/>
  <c r="K32" i="13"/>
  <c r="J32" i="13"/>
  <c r="I32" i="13"/>
  <c r="H32" i="13"/>
  <c r="F32" i="13"/>
  <c r="G31" i="13"/>
  <c r="G30" i="13"/>
  <c r="L30" i="13" s="1"/>
  <c r="G28" i="13"/>
  <c r="K23" i="13"/>
  <c r="J23" i="13"/>
  <c r="I23" i="13"/>
  <c r="H23" i="13"/>
  <c r="F23" i="13"/>
  <c r="G22" i="13"/>
  <c r="L22" i="13" s="1"/>
  <c r="G21" i="13"/>
  <c r="L21" i="13" s="1"/>
  <c r="G20" i="13"/>
  <c r="L20" i="13" s="1"/>
  <c r="G19" i="13"/>
  <c r="L19" i="13" s="1"/>
  <c r="G18" i="13"/>
  <c r="L18" i="13" s="1"/>
  <c r="G17" i="13"/>
  <c r="L17" i="13" s="1"/>
  <c r="G14" i="13"/>
  <c r="L14" i="13" s="1"/>
  <c r="G13" i="13"/>
  <c r="L13" i="13" s="1"/>
  <c r="H11" i="13"/>
  <c r="F11" i="13"/>
  <c r="G10" i="13"/>
  <c r="L10" i="13" s="1"/>
  <c r="G9" i="13"/>
  <c r="L9" i="13" s="1"/>
  <c r="G8" i="13"/>
  <c r="L8" i="13" s="1"/>
  <c r="R187" i="27"/>
  <c r="F132" i="27"/>
  <c r="J131" i="27"/>
  <c r="J132" i="27" s="1"/>
  <c r="J125" i="27"/>
  <c r="J126" i="27" s="1"/>
  <c r="J122" i="27"/>
  <c r="J123" i="27" s="1"/>
  <c r="F118" i="27"/>
  <c r="J114" i="27"/>
  <c r="J115" i="27" s="1"/>
  <c r="Z108" i="27"/>
  <c r="I105" i="27"/>
  <c r="H105" i="27"/>
  <c r="G105" i="27"/>
  <c r="H97" i="27"/>
  <c r="G97" i="27"/>
  <c r="J96" i="27"/>
  <c r="J95" i="27"/>
  <c r="N93" i="27"/>
  <c r="J93" i="27"/>
  <c r="J87" i="27"/>
  <c r="J84" i="27"/>
  <c r="J83" i="27"/>
  <c r="J71" i="27"/>
  <c r="J72" i="27" s="1"/>
  <c r="J56" i="27"/>
  <c r="J47" i="27"/>
  <c r="Q30" i="27"/>
  <c r="J27" i="27"/>
  <c r="J29" i="27" s="1"/>
  <c r="P50" i="44"/>
  <c r="M50" i="44"/>
  <c r="L50" i="44"/>
  <c r="K50" i="44"/>
  <c r="J50" i="44"/>
  <c r="I50" i="44"/>
  <c r="H50" i="44"/>
  <c r="F50" i="44"/>
  <c r="G31" i="44"/>
  <c r="Q31" i="44" s="1"/>
  <c r="G30" i="44"/>
  <c r="Q30" i="44" s="1"/>
  <c r="J12" i="46" s="1"/>
  <c r="J14" i="46" s="1"/>
  <c r="G28" i="44"/>
  <c r="Q28" i="44" s="1"/>
  <c r="G27" i="44"/>
  <c r="Q27" i="44" s="1"/>
  <c r="G26" i="44"/>
  <c r="Q26" i="44" s="1"/>
  <c r="Q18" i="44"/>
  <c r="Q17" i="44"/>
  <c r="G16" i="44"/>
  <c r="Q16" i="44" s="1"/>
  <c r="G15" i="44"/>
  <c r="Q15" i="44" s="1"/>
  <c r="G14" i="44"/>
  <c r="Q14" i="44" s="1"/>
  <c r="G13" i="44"/>
  <c r="Q13" i="44" s="1"/>
  <c r="G12" i="44"/>
  <c r="Q12" i="44" s="1"/>
  <c r="G11" i="44"/>
  <c r="Q11" i="44" s="1"/>
  <c r="G10" i="44"/>
  <c r="Q10" i="44" s="1"/>
  <c r="G9" i="44"/>
  <c r="Q9" i="44" s="1"/>
  <c r="G8" i="44"/>
  <c r="Q8" i="44" s="1"/>
  <c r="G6" i="44"/>
  <c r="Q6" i="44" s="1"/>
  <c r="N91" i="52"/>
  <c r="M91" i="52"/>
  <c r="L91" i="52"/>
  <c r="K91" i="52"/>
  <c r="G91" i="52"/>
  <c r="F91" i="52"/>
  <c r="N87" i="52"/>
  <c r="M87" i="52"/>
  <c r="L87" i="52"/>
  <c r="K87" i="52"/>
  <c r="I87" i="52"/>
  <c r="G87" i="52"/>
  <c r="F87" i="52"/>
  <c r="E87" i="52"/>
  <c r="J87" i="52"/>
  <c r="H87" i="52"/>
  <c r="N84" i="52"/>
  <c r="M84" i="52"/>
  <c r="L84" i="52"/>
  <c r="K84" i="52"/>
  <c r="I84" i="52"/>
  <c r="G84" i="52"/>
  <c r="F84" i="52"/>
  <c r="E84" i="52"/>
  <c r="N81" i="52"/>
  <c r="M81" i="52"/>
  <c r="L81" i="52"/>
  <c r="K81" i="52"/>
  <c r="G81" i="52"/>
  <c r="N76" i="52"/>
  <c r="M76" i="52"/>
  <c r="L76" i="52"/>
  <c r="K76" i="52"/>
  <c r="J76" i="52"/>
  <c r="I76" i="52"/>
  <c r="G76" i="52"/>
  <c r="F76" i="52"/>
  <c r="E76" i="52"/>
  <c r="H76" i="52"/>
  <c r="N73" i="52"/>
  <c r="M73" i="52"/>
  <c r="L73" i="52"/>
  <c r="K73" i="52"/>
  <c r="I73" i="52"/>
  <c r="G73" i="52"/>
  <c r="F73" i="52"/>
  <c r="E73" i="52"/>
  <c r="J73" i="52"/>
  <c r="H73" i="52"/>
  <c r="K63" i="52"/>
  <c r="F63" i="52"/>
  <c r="E25" i="46"/>
  <c r="N54" i="52"/>
  <c r="L54" i="52"/>
  <c r="K54" i="52"/>
  <c r="I54" i="52"/>
  <c r="G54" i="52"/>
  <c r="F54" i="52"/>
  <c r="N31" i="52"/>
  <c r="M31" i="52"/>
  <c r="L31" i="52"/>
  <c r="K31" i="52"/>
  <c r="I31" i="52"/>
  <c r="G31" i="52"/>
  <c r="F31" i="52"/>
  <c r="E31" i="52"/>
  <c r="J31" i="52"/>
  <c r="H31" i="52"/>
  <c r="N28" i="52"/>
  <c r="M28" i="52"/>
  <c r="L28" i="52"/>
  <c r="I28" i="52"/>
  <c r="G28" i="52"/>
  <c r="F28" i="52"/>
  <c r="T27" i="52"/>
  <c r="N20" i="52"/>
  <c r="M20" i="52"/>
  <c r="L20" i="52"/>
  <c r="K20" i="52"/>
  <c r="I20" i="52"/>
  <c r="G20" i="52"/>
  <c r="F20" i="52"/>
  <c r="N16" i="52"/>
  <c r="M16" i="52"/>
  <c r="L16" i="52"/>
  <c r="K16" i="52"/>
  <c r="I16" i="52"/>
  <c r="F16" i="52"/>
  <c r="AA13" i="52"/>
  <c r="Z13" i="52"/>
  <c r="Y13" i="52"/>
  <c r="T11" i="52"/>
  <c r="N11" i="52"/>
  <c r="M11" i="52"/>
  <c r="L11" i="52"/>
  <c r="K11" i="52"/>
  <c r="I11" i="52"/>
  <c r="G11" i="52"/>
  <c r="F11" i="52"/>
  <c r="H11" i="52"/>
  <c r="Q50" i="44" l="1"/>
  <c r="F140" i="13"/>
  <c r="J118" i="27"/>
  <c r="F180" i="27"/>
  <c r="J188" i="27" s="1"/>
  <c r="M93" i="52"/>
  <c r="K93" i="52"/>
  <c r="N93" i="52"/>
  <c r="G93" i="52"/>
  <c r="H81" i="52"/>
  <c r="E93" i="52"/>
  <c r="H63" i="52"/>
  <c r="H38" i="52"/>
  <c r="H28" i="52"/>
  <c r="J28" i="52"/>
  <c r="H16" i="52"/>
  <c r="J16" i="52"/>
  <c r="J63" i="52"/>
  <c r="J54" i="52"/>
  <c r="I140" i="13"/>
  <c r="G50" i="44"/>
  <c r="Q53" i="44" s="1"/>
  <c r="J140" i="13"/>
  <c r="L93" i="52"/>
  <c r="L11" i="13"/>
  <c r="G63" i="13"/>
  <c r="L62" i="13"/>
  <c r="L63" i="13" s="1"/>
  <c r="L23" i="13"/>
  <c r="I93" i="52"/>
  <c r="G35" i="13"/>
  <c r="L31" i="13"/>
  <c r="E13" i="46" s="1"/>
  <c r="J57" i="27"/>
  <c r="J85" i="27"/>
  <c r="E7" i="46"/>
  <c r="E9" i="46" s="1"/>
  <c r="J97" i="27"/>
  <c r="E15" i="46"/>
  <c r="G11" i="13"/>
  <c r="L68" i="13"/>
  <c r="L69" i="13" s="1"/>
  <c r="J38" i="52"/>
  <c r="F38" i="52"/>
  <c r="F93" i="52" s="1"/>
  <c r="L76" i="13"/>
  <c r="L125" i="13"/>
  <c r="L126" i="13" s="1"/>
  <c r="G43" i="13"/>
  <c r="L122" i="13"/>
  <c r="L123" i="13" s="1"/>
  <c r="L89" i="13"/>
  <c r="L90" i="13" s="1"/>
  <c r="G99" i="13"/>
  <c r="G60" i="13"/>
  <c r="L86" i="13"/>
  <c r="L87" i="13" s="1"/>
  <c r="L116" i="13"/>
  <c r="L117" i="13" s="1"/>
  <c r="G39" i="13"/>
  <c r="G32" i="13"/>
  <c r="L41" i="13"/>
  <c r="L43" i="13" s="1"/>
  <c r="L65" i="13"/>
  <c r="L72" i="13"/>
  <c r="L73" i="13" s="1"/>
  <c r="L28" i="13"/>
  <c r="L48" i="13"/>
  <c r="L49" i="13" s="1"/>
  <c r="L92" i="13"/>
  <c r="L93" i="13" s="1"/>
  <c r="L101" i="13"/>
  <c r="L102" i="13" s="1"/>
  <c r="L45" i="13"/>
  <c r="L46" i="13" s="1"/>
  <c r="L105" i="13"/>
  <c r="J5" i="46"/>
  <c r="G57" i="13"/>
  <c r="G69" i="13"/>
  <c r="G76" i="13"/>
  <c r="G96" i="13"/>
  <c r="G105" i="13"/>
  <c r="G114" i="13"/>
  <c r="G132" i="13"/>
  <c r="G23" i="13"/>
  <c r="L37" i="13"/>
  <c r="L39" i="13" s="1"/>
  <c r="L131" i="13"/>
  <c r="L132" i="13" s="1"/>
  <c r="H91" i="52"/>
  <c r="H20" i="52"/>
  <c r="E26" i="46"/>
  <c r="AB13" i="52"/>
  <c r="H84" i="52"/>
  <c r="E27" i="46"/>
  <c r="J84" i="52"/>
  <c r="J91" i="52"/>
  <c r="E24" i="46"/>
  <c r="J11" i="52"/>
  <c r="J81" i="52"/>
  <c r="J20" i="52"/>
  <c r="H93" i="52" l="1"/>
  <c r="G140" i="13"/>
  <c r="J93" i="52"/>
  <c r="E23" i="46"/>
  <c r="E29" i="46" s="1"/>
  <c r="J180" i="27"/>
  <c r="L32" i="13"/>
  <c r="L35" i="13"/>
  <c r="L66" i="13"/>
  <c r="J69" i="46"/>
  <c r="J72" i="46" s="1"/>
  <c r="E14" i="46"/>
  <c r="L30" i="46" s="1"/>
  <c r="O93" i="52" l="1"/>
  <c r="L140" i="13"/>
  <c r="M144" i="13" s="1"/>
  <c r="E16" i="46"/>
  <c r="E32" i="46" s="1"/>
  <c r="L144" i="13" l="1"/>
  <c r="G123" i="27"/>
  <c r="H18" i="27"/>
</calcChain>
</file>

<file path=xl/sharedStrings.xml><?xml version="1.0" encoding="utf-8"?>
<sst xmlns="http://schemas.openxmlformats.org/spreadsheetml/2006/main" count="1238" uniqueCount="521">
  <si>
    <t>H. AYUNTAMIENTO MUNICIPAL DE AMATITAN, JAL.</t>
  </si>
  <si>
    <t>NOMBRE DEL TRABAJADOR</t>
  </si>
  <si>
    <t>PUESTO</t>
  </si>
  <si>
    <t>SUELDO</t>
  </si>
  <si>
    <t>SUBSIDIO</t>
  </si>
  <si>
    <t>I.S.R.</t>
  </si>
  <si>
    <t>I.M.S.S.</t>
  </si>
  <si>
    <t>INFONAVIT</t>
  </si>
  <si>
    <t>DESPENSA</t>
  </si>
  <si>
    <t>BONO PUNT.</t>
  </si>
  <si>
    <t>PRIMA VACACIONAL</t>
  </si>
  <si>
    <t>FALTAS</t>
  </si>
  <si>
    <t>SUELDO NETO POR EMPLEADO</t>
  </si>
  <si>
    <t>CLAVE</t>
  </si>
  <si>
    <t>Director</t>
  </si>
  <si>
    <t>Secretaria</t>
  </si>
  <si>
    <t>EDMUNDO RUIZ MEDRANO</t>
  </si>
  <si>
    <t>Policia de Linea</t>
  </si>
  <si>
    <t>Encargado de Hacienda Municipal</t>
  </si>
  <si>
    <t>Presidente Municipal</t>
  </si>
  <si>
    <t>5.1.1.1.0-111-401-00</t>
  </si>
  <si>
    <t>Presidente</t>
  </si>
  <si>
    <t>5.1.1.1.0-113-401-00</t>
  </si>
  <si>
    <t>Regidor</t>
  </si>
  <si>
    <t>Juez Municipal</t>
  </si>
  <si>
    <t>Contador</t>
  </si>
  <si>
    <t>Obras Publicas Director</t>
  </si>
  <si>
    <t>Oficial Mayor</t>
  </si>
  <si>
    <t>Auxiliar Catastro</t>
  </si>
  <si>
    <t>PRIMA QUINQUENAL</t>
  </si>
  <si>
    <t>HORAS EXTRAS</t>
  </si>
  <si>
    <t>CUOTA SINDICAL</t>
  </si>
  <si>
    <t>Zepeda Rivera Claudia Yazmin</t>
  </si>
  <si>
    <t>Secretaria Sindicatura</t>
  </si>
  <si>
    <t xml:space="preserve">   </t>
  </si>
  <si>
    <t>HACIENDA PUBLICA</t>
  </si>
  <si>
    <t>Tovar Rivera Rosa Maria</t>
  </si>
  <si>
    <t>Secretaria Tesoreria</t>
  </si>
  <si>
    <t>Nuñez Zepeda Altagracia</t>
  </si>
  <si>
    <t>PREDIAL Y CATASTRO</t>
  </si>
  <si>
    <t>Garcia Ortega Lucio</t>
  </si>
  <si>
    <t>Lopez Gomez Adela</t>
  </si>
  <si>
    <t>secretaria Catastro</t>
  </si>
  <si>
    <t>OBRAS PUBLICAS</t>
  </si>
  <si>
    <t>Empedrador</t>
  </si>
  <si>
    <t>Hernandez Alvarado Jose Antonio</t>
  </si>
  <si>
    <t>Correa Bugarin Herminio</t>
  </si>
  <si>
    <t>AGUA POTABLE Y ALCANTARILLADO</t>
  </si>
  <si>
    <t>Rios Diaz Ma. Ascencion</t>
  </si>
  <si>
    <t>Fontanero</t>
  </si>
  <si>
    <t>Rodriguez Salazar Carlos Armando</t>
  </si>
  <si>
    <t>Ruvalcaba Alvarado Felipe</t>
  </si>
  <si>
    <t>Plascencia Zepeda Aurelio</t>
  </si>
  <si>
    <t>Enc. Alcantarillado</t>
  </si>
  <si>
    <t>Plascencia Ornelas Aureliano</t>
  </si>
  <si>
    <t>Aux. Alcantarillado</t>
  </si>
  <si>
    <t>Plascencia Zepeda Fernando</t>
  </si>
  <si>
    <t>Roman Adame Luis Humberto</t>
  </si>
  <si>
    <t>Adame Alvarado Victor</t>
  </si>
  <si>
    <t>OFICIALIA MAYOR</t>
  </si>
  <si>
    <t>Olivares Rodriguez Celia</t>
  </si>
  <si>
    <t>Lopez Saldivar Ignacio</t>
  </si>
  <si>
    <t>Zambrano Arellano Francisco Javier</t>
  </si>
  <si>
    <t>Aux. Registro Civil</t>
  </si>
  <si>
    <t>Ocampo Martinez Miguel</t>
  </si>
  <si>
    <t>Chofer Maquinaria</t>
  </si>
  <si>
    <t>REGISTRO CIVIL</t>
  </si>
  <si>
    <t>Ruiz Navarrete Claudia Veronica</t>
  </si>
  <si>
    <t>RASTRO</t>
  </si>
  <si>
    <t>Ortega Preciado Candelario</t>
  </si>
  <si>
    <t>Ruiz Rivera Alberto</t>
  </si>
  <si>
    <t>Jardinero</t>
  </si>
  <si>
    <t>Juarez Alvarado Manuel</t>
  </si>
  <si>
    <t>Aseador</t>
  </si>
  <si>
    <t>Perez Gonzalez Narciso</t>
  </si>
  <si>
    <t>Leonel Rivera Hugo</t>
  </si>
  <si>
    <t>Delgado Fregoso Enrique Martin</t>
  </si>
  <si>
    <t>Murillo Rubio Carlos</t>
  </si>
  <si>
    <t>Perez Ibarra Mariana</t>
  </si>
  <si>
    <t>Intendente</t>
  </si>
  <si>
    <t>Romero Valencia Noemi</t>
  </si>
  <si>
    <t>Romero Rodriguez Veronica</t>
  </si>
  <si>
    <t>Abarca Diaz Julia</t>
  </si>
  <si>
    <t>CEMENTERIOS</t>
  </si>
  <si>
    <t>Rivera Rosales Jose Maria</t>
  </si>
  <si>
    <t>Aux. Cementerio</t>
  </si>
  <si>
    <t>Murillo Ramos Esperanza</t>
  </si>
  <si>
    <t>TOTALES</t>
  </si>
  <si>
    <t>Velador Bodega</t>
  </si>
  <si>
    <t>Recaudador</t>
  </si>
  <si>
    <t>Auxiliar</t>
  </si>
  <si>
    <t>TIEMPO EXTRA</t>
  </si>
  <si>
    <t>Rodriguez Lopez Damian Enrique</t>
  </si>
  <si>
    <t>JUAN LUIS OBLEDO GARCIA</t>
  </si>
  <si>
    <t>5.1.1.2.0-122-401-00</t>
  </si>
  <si>
    <t>H. AYUNTAMIENTO MUNICIPAL DE AMATITAN JALISCO</t>
  </si>
  <si>
    <t>RFC: MAJ 850101 FE3 DOMICILIO  ZARAGOZA  # 42</t>
  </si>
  <si>
    <t>FECHA DE INGRESO</t>
  </si>
  <si>
    <t xml:space="preserve">NOMBRE </t>
  </si>
  <si>
    <t>DELEGACIÓN</t>
  </si>
  <si>
    <t>FIRMA DE RECIBIDO</t>
  </si>
  <si>
    <t>DELEGADO</t>
  </si>
  <si>
    <t>SANTIAGUITO</t>
  </si>
  <si>
    <t>VILLA DE CUERAMBARO</t>
  </si>
  <si>
    <t>CHOME</t>
  </si>
  <si>
    <t>LA QUEBRADORA</t>
  </si>
  <si>
    <t>LA MATA</t>
  </si>
  <si>
    <t>EL CERRITO</t>
  </si>
  <si>
    <t>EL AMARILLO</t>
  </si>
  <si>
    <t>AGUA FRIA</t>
  </si>
  <si>
    <t>AGUA PRIETA</t>
  </si>
  <si>
    <t>TOTAL:</t>
  </si>
  <si>
    <t>Sueldo</t>
  </si>
  <si>
    <t xml:space="preserve">Sueldo Neto </t>
  </si>
  <si>
    <t>Faltas</t>
  </si>
  <si>
    <t xml:space="preserve">Auxiliar </t>
  </si>
  <si>
    <t>Auxiliar Proteccion Civil</t>
  </si>
  <si>
    <t>OTRAS DEDUCCIONES</t>
  </si>
  <si>
    <t>Intendentes/Jardineros/Bodega/Administrativos</t>
  </si>
  <si>
    <t>Peon</t>
  </si>
  <si>
    <t>Chofer Aseo</t>
  </si>
  <si>
    <t>Chofer Camion Escolar</t>
  </si>
  <si>
    <t>Joaquin Arroyo Romero</t>
  </si>
  <si>
    <t>SEGURIDAD PUBLICA</t>
  </si>
  <si>
    <t>SINDICATURA Y SRIA. GENERAL</t>
  </si>
  <si>
    <t>Cortes Alvarado Carlos Javier</t>
  </si>
  <si>
    <t>PRESIDENCIA</t>
  </si>
  <si>
    <t>SALA DE REGIDORES</t>
  </si>
  <si>
    <t>CONTRALORIA</t>
  </si>
  <si>
    <t>HACIENDA MUNICIPAL</t>
  </si>
  <si>
    <t>AGUA POTABLE</t>
  </si>
  <si>
    <t>ASEO PUBLICO</t>
  </si>
  <si>
    <t>RASTRO MUNICIPAL</t>
  </si>
  <si>
    <t>DESARROLLO RURAL</t>
  </si>
  <si>
    <t>PARTICIPACION CIUDADANA</t>
  </si>
  <si>
    <t>CATASTRO</t>
  </si>
  <si>
    <t>Chofer</t>
  </si>
  <si>
    <t>OFICIAL MAYOR</t>
  </si>
  <si>
    <t>PROTECCION CIVIL</t>
  </si>
  <si>
    <t>COMPUTO E INFORMATICA</t>
  </si>
  <si>
    <t>CE MUJER</t>
  </si>
  <si>
    <t>Encargado de Pozo</t>
  </si>
  <si>
    <t>Mauricio Plascencia Flores</t>
  </si>
  <si>
    <t>Oficial</t>
  </si>
  <si>
    <t>Deducciones / Prestamos</t>
  </si>
  <si>
    <t>Tiempo Extraordinario</t>
  </si>
  <si>
    <t>N° Trabajador</t>
  </si>
  <si>
    <t>Rosales Villalobos Ma Asencion</t>
  </si>
  <si>
    <t>Saldivar Hermosillo Genoveva</t>
  </si>
  <si>
    <t>Comandante</t>
  </si>
  <si>
    <t>Jefe de Gabinete</t>
  </si>
  <si>
    <t>Josue Saul Perez Ocampo</t>
  </si>
  <si>
    <t>Mary Paz Larios Rivera</t>
  </si>
  <si>
    <t>Director de Sistemas</t>
  </si>
  <si>
    <t>Samuel Villegas Perez</t>
  </si>
  <si>
    <t>Ubaldo Plascencia Nuñez</t>
  </si>
  <si>
    <t>Israel Montes Delgado</t>
  </si>
  <si>
    <t>Sergio Real Olivares</t>
  </si>
  <si>
    <t>Maria de Rosario Alvarado Olivares</t>
  </si>
  <si>
    <t>Miguel Melendrez Rodriguez</t>
  </si>
  <si>
    <t>Mario Flores Landeros</t>
  </si>
  <si>
    <t>Engelberto Trinidad Ayon Arellano</t>
  </si>
  <si>
    <t>BBVA</t>
  </si>
  <si>
    <t>CHQ</t>
  </si>
  <si>
    <t>Inspector</t>
  </si>
  <si>
    <t>JAVIER CONTRERAS GUTIERREZ</t>
  </si>
  <si>
    <t>JOSE FRANCISCO COVARUBIAS GARCIA</t>
  </si>
  <si>
    <t>Chofer Ambulancia</t>
  </si>
  <si>
    <t>Oscar Mario Rubio Aguilar</t>
  </si>
  <si>
    <t xml:space="preserve">COMUNICACIÓN SOCIAL </t>
  </si>
  <si>
    <t>TRANSPARENCIA</t>
  </si>
  <si>
    <t>Director de Transparencia</t>
  </si>
  <si>
    <t>5-1.1.2.0-122-111</t>
  </si>
  <si>
    <t>5.1.1.1-0-113-252</t>
  </si>
  <si>
    <t>Raul Zepeda Gomez</t>
  </si>
  <si>
    <t>RAUL CONTRERAS GARCIA</t>
  </si>
  <si>
    <t>RANCHO VIEJO</t>
  </si>
  <si>
    <t>Alejandro Jacob Navarro Caro</t>
  </si>
  <si>
    <t>Secretario General</t>
  </si>
  <si>
    <t>Sindico</t>
  </si>
  <si>
    <t>ARCHIVO</t>
  </si>
  <si>
    <t>Veterinario</t>
  </si>
  <si>
    <t>PENSIONES Y OTROS</t>
  </si>
  <si>
    <t>MIGUEL LOZANO RODRIGUEZ</t>
  </si>
  <si>
    <t>CESAR ADRIAN CAMPOS ROMAN</t>
  </si>
  <si>
    <t xml:space="preserve">Director </t>
  </si>
  <si>
    <t>MERCEDES AURELIA BALTAZAR BRAVO</t>
  </si>
  <si>
    <t>Sub Director PC y Bomberos</t>
  </si>
  <si>
    <t>MARTIN GARCIA RIOS</t>
  </si>
  <si>
    <t>Director de Panteones</t>
  </si>
  <si>
    <t>RECURSOS HUMANOS</t>
  </si>
  <si>
    <t>PROTECCION CIVIL Y BOMBEROS</t>
  </si>
  <si>
    <t>CULTURA</t>
  </si>
  <si>
    <t>PARQUES Y JARDINES</t>
  </si>
  <si>
    <t>JOSE ROBERTO SANCHEZ CORTEZ</t>
  </si>
  <si>
    <t>BNTE</t>
  </si>
  <si>
    <t>RAFAEL HERNANDEZ LANDEROS</t>
  </si>
  <si>
    <t>MIGUEL ANGEL BALTAZAR HERNANDEZ</t>
  </si>
  <si>
    <t>Alfonso Rivera Villegas</t>
  </si>
  <si>
    <t>Jesus Alberto Sanchez Moreno</t>
  </si>
  <si>
    <t>Noe Rios Flores</t>
  </si>
  <si>
    <t>Carmen Castañeda Rivera</t>
  </si>
  <si>
    <t>Ruben Reynoso Flores</t>
  </si>
  <si>
    <t>Nery Saul Garcia Esqueda</t>
  </si>
  <si>
    <t>Liliana Berenice Acosta Tapia</t>
  </si>
  <si>
    <t>Araceli Ramos Cordero</t>
  </si>
  <si>
    <t xml:space="preserve">Juan Pablo Alvarado Martinez </t>
  </si>
  <si>
    <t>Luis Eduardo Zepeda Rivera</t>
  </si>
  <si>
    <t>Gabriel Medero Torres</t>
  </si>
  <si>
    <t>Jorge Armando Perez Rivera</t>
  </si>
  <si>
    <t>Alondra Noemi Rivera Jauregui</t>
  </si>
  <si>
    <t>Gustavo Delgado Torres</t>
  </si>
  <si>
    <t>Fabian Saldivar Ramirez</t>
  </si>
  <si>
    <t>Yazmin Escatel Ruiz</t>
  </si>
  <si>
    <t>Ramón de Jesus Covarrubias Correa</t>
  </si>
  <si>
    <t>Lorenzo Torres Alvarado</t>
  </si>
  <si>
    <t>Facundo Adame Alvarado</t>
  </si>
  <si>
    <t>Arianna Guzman Lazcarro</t>
  </si>
  <si>
    <t>Salvador Murillo Partida</t>
  </si>
  <si>
    <t>Yenifer Alexis Torres Salazar</t>
  </si>
  <si>
    <t xml:space="preserve">Jose Ezequiel Bugarin Hernandez </t>
  </si>
  <si>
    <t>Jose Carmen Gandaras Montes</t>
  </si>
  <si>
    <t>Cesar Fernando Iñiguez Felix</t>
  </si>
  <si>
    <t xml:space="preserve">Brigido Ramirez Rivera </t>
  </si>
  <si>
    <t>Sandra Paola Ruvalcaba Orozco</t>
  </si>
  <si>
    <t>Carlos Roberto Hernandez Alvarado</t>
  </si>
  <si>
    <t xml:space="preserve">Aurora Nadsheli Avila Hernandez </t>
  </si>
  <si>
    <t>Seleni Guadalupe Sanchez Martinez</t>
  </si>
  <si>
    <t>COMUSIDA</t>
  </si>
  <si>
    <t xml:space="preserve">Juan Manuel Lopez Hernandez </t>
  </si>
  <si>
    <t xml:space="preserve">PLANEACION Y MEJORA REGULATORIA </t>
  </si>
  <si>
    <t xml:space="preserve">Guadalupe Nallely Ramirez Lopez </t>
  </si>
  <si>
    <t xml:space="preserve">RECURSOS HUMANOS  SANTIAGUITO  </t>
  </si>
  <si>
    <t xml:space="preserve">Juan Enrique Avila Lara </t>
  </si>
  <si>
    <t>Severo Zepeda Melendrez</t>
  </si>
  <si>
    <t xml:space="preserve">ING. Josue Saul Perez Ocampo </t>
  </si>
  <si>
    <t xml:space="preserve">LAE. Severo Zepeda Melendrez </t>
  </si>
  <si>
    <t>RAMÓN VILLARIAL CORTES</t>
  </si>
  <si>
    <t>RAMÓN RIVERA FRANCO</t>
  </si>
  <si>
    <t>RUBEN AVELAR RIVERA</t>
  </si>
  <si>
    <t>MARIA DEL ROSARIO RODRIGUEZ RIVERA</t>
  </si>
  <si>
    <t>SAUL OVIEDO HERNANDEZ</t>
  </si>
  <si>
    <t xml:space="preserve">ING. Josue  Saul Perez Ocampo </t>
  </si>
  <si>
    <t>Hector Ruben Ontiveros Zepeda</t>
  </si>
  <si>
    <t xml:space="preserve">ALEJANDRO RUIZ MURILLO </t>
  </si>
  <si>
    <t xml:space="preserve">PRESIDENCIA </t>
  </si>
  <si>
    <t xml:space="preserve">Jose Guadalupe Rivera Sandoval </t>
  </si>
  <si>
    <t>ECOLOGIA Y MEDIO AMBIENTE</t>
  </si>
  <si>
    <t xml:space="preserve">Jose de Jesus Flores Castañeda </t>
  </si>
  <si>
    <t xml:space="preserve">BBVA </t>
  </si>
  <si>
    <t>DESARROLLO SOCIAL</t>
  </si>
  <si>
    <t>Ana Patricia Galindo Orozco</t>
  </si>
  <si>
    <t>Auxiliar agua potable</t>
  </si>
  <si>
    <t>Silvano Murillo Ocampo</t>
  </si>
  <si>
    <t>Cristian Alexis Torres Alvarado</t>
  </si>
  <si>
    <t>Jose de Jesus Avila Peña</t>
  </si>
  <si>
    <t>Lauro Liberato Gonzalez Perez</t>
  </si>
  <si>
    <t>Santiago Segura Covarrubias</t>
  </si>
  <si>
    <t>Auxiliar tesoreria</t>
  </si>
  <si>
    <t xml:space="preserve">ING. Josúe Saul Perez Ocampo </t>
  </si>
  <si>
    <t xml:space="preserve">Araceli Nuñes Flores </t>
  </si>
  <si>
    <t>Auxiliar Obras publicas</t>
  </si>
  <si>
    <t>ASEO</t>
  </si>
  <si>
    <t xml:space="preserve">EVENTUAL </t>
  </si>
  <si>
    <t xml:space="preserve">Miguel Ocampo Martinez </t>
  </si>
  <si>
    <t>Operador Planta Tratadora</t>
  </si>
  <si>
    <t>CONFIANZA</t>
  </si>
  <si>
    <t>SINDICATO</t>
  </si>
  <si>
    <t xml:space="preserve">Rosa María Tovar Rivera </t>
  </si>
  <si>
    <t>Mariana Perez Ibarra</t>
  </si>
  <si>
    <t>Julia Abraca Díaz</t>
  </si>
  <si>
    <t>Encargado de bodega</t>
  </si>
  <si>
    <t>Bodega</t>
  </si>
  <si>
    <t>Saul Lopez Alvarado</t>
  </si>
  <si>
    <t>CHEQUE</t>
  </si>
  <si>
    <t>TOTAL BANORTE</t>
  </si>
  <si>
    <t>51.1.2.0-122-401-00</t>
  </si>
  <si>
    <t>Comunicación Social</t>
  </si>
  <si>
    <t xml:space="preserve">Elizabeth Rodriguez  Rivera </t>
  </si>
  <si>
    <t xml:space="preserve">Marcela Esmeralda Morales Gomez </t>
  </si>
  <si>
    <t xml:space="preserve">Auxiliar General </t>
  </si>
  <si>
    <t xml:space="preserve">Guillermpo Ocampo Martinez </t>
  </si>
  <si>
    <t>BNTE 1074</t>
  </si>
  <si>
    <t>CHEQ</t>
  </si>
  <si>
    <t xml:space="preserve">JESUS DURAN ENRIQUEZ </t>
  </si>
  <si>
    <t>JOEL CASTRO CASTRO</t>
  </si>
  <si>
    <t xml:space="preserve">MARGARITA DE LUNA DE LUNA </t>
  </si>
  <si>
    <t>BANORTE</t>
  </si>
  <si>
    <t xml:space="preserve">Sarah Veronica Rojas Ruiz </t>
  </si>
  <si>
    <t xml:space="preserve">Jose Luis Ruiz Mercado </t>
  </si>
  <si>
    <t xml:space="preserve">Peon </t>
  </si>
  <si>
    <t xml:space="preserve">Aseador </t>
  </si>
  <si>
    <t xml:space="preserve">Raul Becerra Olmos </t>
  </si>
  <si>
    <t xml:space="preserve">Mécanico </t>
  </si>
  <si>
    <t>J.  Ascencion Ramirez Lopez</t>
  </si>
  <si>
    <t xml:space="preserve">CONTRALORIA </t>
  </si>
  <si>
    <t>LEONARDO SANCHEZ IBARRA</t>
  </si>
  <si>
    <t>ERACLEO UVIEDO REYES</t>
  </si>
  <si>
    <t>ENCARGADO DE DESPACHO</t>
  </si>
  <si>
    <t xml:space="preserve">MARIA VALERIA RIVERA LICON </t>
  </si>
  <si>
    <t xml:space="preserve">LA CONCHILLA </t>
  </si>
  <si>
    <t>JULIAN RIVERA HARO</t>
  </si>
  <si>
    <t xml:space="preserve">SAN FRANCISCO </t>
  </si>
  <si>
    <t>JULIAN LOPEZ GUERRERO</t>
  </si>
  <si>
    <t>ELIAS IBARRA LAMAS</t>
  </si>
  <si>
    <t>LA CAPILLA</t>
  </si>
  <si>
    <t>DELEGADOS</t>
  </si>
  <si>
    <t>SILVIA HERNANDEZ LOPEZ</t>
  </si>
  <si>
    <t>Heidi Asurim Aviña Ramirez</t>
  </si>
  <si>
    <t xml:space="preserve">ALFONSO FLORES CORDERO </t>
  </si>
  <si>
    <t xml:space="preserve">Secretaria Registro </t>
  </si>
  <si>
    <t xml:space="preserve">ECOLOGIA </t>
  </si>
  <si>
    <t>Secretaria Ecologia</t>
  </si>
  <si>
    <t xml:space="preserve">CESAR RUIZ MURILLO </t>
  </si>
  <si>
    <t xml:space="preserve">JUZGADO MUNICIAPL </t>
  </si>
  <si>
    <t xml:space="preserve">Actuario municiapl </t>
  </si>
  <si>
    <t xml:space="preserve">COMPUTO E INFORMATICA </t>
  </si>
  <si>
    <t xml:space="preserve">Auxiliar informatica </t>
  </si>
  <si>
    <t xml:space="preserve">Elizabeth Navarro Martinez </t>
  </si>
  <si>
    <t xml:space="preserve">Proyectista </t>
  </si>
  <si>
    <t>Límite inferior</t>
  </si>
  <si>
    <t>Límite superior</t>
  </si>
  <si>
    <t>Cuota fija</t>
  </si>
  <si>
    <t>Por ciento para aplicarse sobre</t>
  </si>
  <si>
    <t>el excedente del límite inferior</t>
  </si>
  <si>
    <t>$</t>
  </si>
  <si>
    <t>%</t>
  </si>
  <si>
    <t xml:space="preserve">CEMENTERIOS </t>
  </si>
  <si>
    <t>5.1.1.1-0-113-111</t>
  </si>
  <si>
    <t xml:space="preserve">BRENDA YUTZIN RAMIREZ LOPEZ </t>
  </si>
  <si>
    <t xml:space="preserve">ADRIANA DE JESUS PEREZ IBARRA </t>
  </si>
  <si>
    <t xml:space="preserve">OFICIALIA DE PADRON Y LICENCIAS </t>
  </si>
  <si>
    <t xml:space="preserve">DESARROLLO ECONOMICO </t>
  </si>
  <si>
    <t>CHRISTIAN ALEJANDRO VILLA GONZALEZ</t>
  </si>
  <si>
    <t>CESAR ALEJANDRO CAMPOS GONZALEZ</t>
  </si>
  <si>
    <t xml:space="preserve">JORGE LUIS SIGALA CORONA </t>
  </si>
  <si>
    <t>Entro 09-Feb</t>
  </si>
  <si>
    <t xml:space="preserve">EDUCACION </t>
  </si>
  <si>
    <t xml:space="preserve">Bonifacio Partida Melendrez </t>
  </si>
  <si>
    <t xml:space="preserve">CONFIANZA </t>
  </si>
  <si>
    <t>CHEQUES</t>
  </si>
  <si>
    <t xml:space="preserve">Desconto la 1era de marzo </t>
  </si>
  <si>
    <t xml:space="preserve">PRESTAMO 12,000 </t>
  </si>
  <si>
    <t>Pidio prestamo de 5,000 se le descontara en el 2da de marzo</t>
  </si>
  <si>
    <t xml:space="preserve">SECRETARIA GENERAL </t>
  </si>
  <si>
    <t xml:space="preserve">Bianca Isamar Torres Zepeda </t>
  </si>
  <si>
    <t xml:space="preserve">Salvador Rivera Rivera </t>
  </si>
  <si>
    <t>Gabriela Castañeda Garcia</t>
  </si>
  <si>
    <t>Intendente Museo</t>
  </si>
  <si>
    <t>Karla Zepeda Martinez</t>
  </si>
  <si>
    <t>Auxiliar Tesoreria</t>
  </si>
  <si>
    <t xml:space="preserve">Lesly Guadalupe Torres Zepeda </t>
  </si>
  <si>
    <t>Intendente comandancia</t>
  </si>
  <si>
    <t xml:space="preserve">Lisbeth Guadalupe Rivera Zepeda </t>
  </si>
  <si>
    <t xml:space="preserve">Margarita Anaid Hermosillo Perez </t>
  </si>
  <si>
    <t>Mireya Flores Olivares</t>
  </si>
  <si>
    <t>Auxiliar contraloria</t>
  </si>
  <si>
    <t>Sandra Alvarado Reyes</t>
  </si>
  <si>
    <t xml:space="preserve">Intendente </t>
  </si>
  <si>
    <t xml:space="preserve">Prestamo de $5,000 el 16 de marzo </t>
  </si>
  <si>
    <t xml:space="preserve">Prestamo $5,000 el 29 de marzo </t>
  </si>
  <si>
    <t xml:space="preserve">MARIA IMELDA MARTINEZ MARISCAL </t>
  </si>
  <si>
    <t>ANABEL NAVARRO ESTRADA</t>
  </si>
  <si>
    <t xml:space="preserve">BRENDA ESMERALDA CASTILLO FLORES </t>
  </si>
  <si>
    <t xml:space="preserve">CESAR RAMIREZ SALCEDO </t>
  </si>
  <si>
    <t>JOSE LUIS DUARTE CATARINO</t>
  </si>
  <si>
    <t xml:space="preserve">Guadalupe Itzel Ocampo Rivera </t>
  </si>
  <si>
    <t>Auxiliar jefe de gabinete</t>
  </si>
  <si>
    <t>Intendente presidencia</t>
  </si>
  <si>
    <t>Yesica Alejandra Montes Caudillo</t>
  </si>
  <si>
    <t>Ce-Mujer</t>
  </si>
  <si>
    <t>Maria del Rocio Ramirez Arellano</t>
  </si>
  <si>
    <t>Psicóloga</t>
  </si>
  <si>
    <t xml:space="preserve">Rosa Velazquez Najar </t>
  </si>
  <si>
    <t>Oscar Daniel Bermudez Partida</t>
  </si>
  <si>
    <t>500 4 de abril</t>
  </si>
  <si>
    <t>Pocera</t>
  </si>
  <si>
    <t xml:space="preserve">Prestamo de $5,000 primer abono 2da de abril </t>
  </si>
  <si>
    <t>Intendente Santiaguito</t>
  </si>
  <si>
    <t>Julieta Laritza Lara Lopez</t>
  </si>
  <si>
    <t>Prestamo $500 del 06 MAYO</t>
  </si>
  <si>
    <t>Rogelio Gutierrez Garcia</t>
  </si>
  <si>
    <t>Sergio Omar Cruz Lozano</t>
  </si>
  <si>
    <t xml:space="preserve">Barbara Elizabeth Meza Ocampo </t>
  </si>
  <si>
    <t>Secretaria Comandancia</t>
  </si>
  <si>
    <t xml:space="preserve">LILIA GALLARDO ALVAREZ </t>
  </si>
  <si>
    <t xml:space="preserve">RAUL MARTINEZ GUZMAN </t>
  </si>
  <si>
    <t xml:space="preserve">ANA LILIA VERA GUZMAN </t>
  </si>
  <si>
    <t>EVENTUAL</t>
  </si>
  <si>
    <t xml:space="preserve">Tania Sanchez Larios </t>
  </si>
  <si>
    <t>Dalia Gudalupe Sanchez Delgado</t>
  </si>
  <si>
    <t xml:space="preserve">PARQUES Y JARDINES </t>
  </si>
  <si>
    <t>Auxiliar parques y jardines</t>
  </si>
  <si>
    <t xml:space="preserve">Ramon Gutierrez Ibarra </t>
  </si>
  <si>
    <t xml:space="preserve">Proyectos </t>
  </si>
  <si>
    <t xml:space="preserve">Pedro Guerrero Magaña </t>
  </si>
  <si>
    <t>Valeria Alejandra Hernandez Soto</t>
  </si>
  <si>
    <t>Karen Guadalupe Nava Godoy</t>
  </si>
  <si>
    <t>Jefatura</t>
  </si>
  <si>
    <t>Delegaciones</t>
  </si>
  <si>
    <t>Angelica Reynaga Rangel</t>
  </si>
  <si>
    <t>N°</t>
  </si>
  <si>
    <t xml:space="preserve">PIDIO PRESTAMO 5000 PRIMER ABONO 2DA QUINCENA DE JULIO </t>
  </si>
  <si>
    <t xml:space="preserve">SEGUNDO PRESTAMO DE 2000 EN 2DA QUINCENA DE JULIOI </t>
  </si>
  <si>
    <t xml:space="preserve">Jessica Margarita Cortes Hermosillo </t>
  </si>
  <si>
    <t xml:space="preserve">ISRAEL RODRIGUEZ RIVERA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</si>
  <si>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</si>
  <si>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Deportes</t>
  </si>
  <si>
    <t xml:space="preserve">Benito Roman </t>
  </si>
  <si>
    <t xml:space="preserve">Archivo </t>
  </si>
  <si>
    <t xml:space="preserve">Roberto Carlos Melendrez Alvarado </t>
  </si>
  <si>
    <t xml:space="preserve">Desarrollo Social </t>
  </si>
  <si>
    <t>Maria de Jesus Castro Juarez</t>
  </si>
  <si>
    <t>Maria Guillermina Hernandez Salazar</t>
  </si>
  <si>
    <t>Maria Vazquez Haro</t>
  </si>
  <si>
    <t>Antonia Salazar Lopez</t>
  </si>
  <si>
    <t>Basilio Loreto Mendoza</t>
  </si>
  <si>
    <t>Benito Flores García</t>
  </si>
  <si>
    <t>Candelario Castro Castro</t>
  </si>
  <si>
    <t>Clemente Garcia Hernandez</t>
  </si>
  <si>
    <t>Auxiliar Oficial mayor</t>
  </si>
  <si>
    <t>Ernesto Olivares Delgado</t>
  </si>
  <si>
    <t>Felipe Delgado Olivares</t>
  </si>
  <si>
    <t>Albañil</t>
  </si>
  <si>
    <t>Geovani Garcia Helguera</t>
  </si>
  <si>
    <t xml:space="preserve">Recursos Humanos </t>
  </si>
  <si>
    <t>Irma Lopez Valdez</t>
  </si>
  <si>
    <t>Juan Jose García Sandoval</t>
  </si>
  <si>
    <t>Pocero</t>
  </si>
  <si>
    <t>Juan Jose Sanchez Hermosillo</t>
  </si>
  <si>
    <t>Pocero Santiaguito</t>
  </si>
  <si>
    <t>Juan David Ortiz Martínez</t>
  </si>
  <si>
    <t>Ma. Guadalupe Gutierrez Contreras</t>
  </si>
  <si>
    <t>Manuel Arroyo Romero</t>
  </si>
  <si>
    <t xml:space="preserve">Marco Antonio Rios </t>
  </si>
  <si>
    <t>Chofer camion escolar</t>
  </si>
  <si>
    <t>Maria del Rocio Carlos Flores</t>
  </si>
  <si>
    <t>Petra Nuñez Zepeda</t>
  </si>
  <si>
    <t>Pedro Rene Castañeda Rivera</t>
  </si>
  <si>
    <t>Velador</t>
  </si>
  <si>
    <t>Alumbrado Público</t>
  </si>
  <si>
    <t>Rafael Osuna Gomez</t>
  </si>
  <si>
    <t>Rodrigo Lopez Cobos</t>
  </si>
  <si>
    <t>Silvano Flores Cornejo</t>
  </si>
  <si>
    <t>Mireya Delgado Rivera</t>
  </si>
  <si>
    <t>Efec</t>
  </si>
  <si>
    <t>CHEQUE EVENTUAL</t>
  </si>
  <si>
    <t>Benito Flores Garcia</t>
  </si>
  <si>
    <t>Gabriela Michel Villarreal Martinez</t>
  </si>
  <si>
    <t>Juan Jose Garcia Sandoval</t>
  </si>
  <si>
    <t>Juan David Ortiz Martinez</t>
  </si>
  <si>
    <t>Targ</t>
  </si>
  <si>
    <t>Marisol Iñiguez Torres</t>
  </si>
  <si>
    <t>Auxiliar Administrativa</t>
  </si>
  <si>
    <t>JUL</t>
  </si>
  <si>
    <t>A</t>
  </si>
  <si>
    <t>3007  cheq</t>
  </si>
  <si>
    <t>Rosa Cristina Correa Martínez</t>
  </si>
  <si>
    <t>CHE</t>
  </si>
  <si>
    <t>Maria del Carmen Yazmin Rivera Rodriguez</t>
  </si>
  <si>
    <t>Juan Bosco Villegas Anguiano</t>
  </si>
  <si>
    <t>Jose de Jesus García Mercado</t>
  </si>
  <si>
    <t>Chofer  Mototransformadora</t>
  </si>
  <si>
    <t>Chofer camion volteo 319127</t>
  </si>
  <si>
    <t xml:space="preserve">LIZBETH NOEMI CARRASCO NUÑEZ </t>
  </si>
  <si>
    <t>Laura Elizabeth Ramos Magallanes</t>
  </si>
  <si>
    <t>Secretaria de sindicatura</t>
  </si>
  <si>
    <t>ULTIMA</t>
  </si>
  <si>
    <t>1000  1ERA SEP</t>
  </si>
  <si>
    <t>CONFIANZA EFECTIVO</t>
  </si>
  <si>
    <t>María del Carmen Yazmin Rivera  Rodriguez</t>
  </si>
  <si>
    <t>MARIA IMELDA MARTINEZ MARISCAL</t>
  </si>
  <si>
    <t>SEGURIDAD EFECTIVO</t>
  </si>
  <si>
    <t>JOSE BRANDON MONTES PEREZ</t>
  </si>
  <si>
    <t>SILVERIA RUBI VELARDE ALVAREZ</t>
  </si>
  <si>
    <t>JUAN FRANCISCO REYES GARIBAY</t>
  </si>
  <si>
    <t>BERTHA CAROLINA LOPEZ PEREZ</t>
  </si>
  <si>
    <t>CRISTOBAL DANIEL GONZALEZ MARROQUIN</t>
  </si>
  <si>
    <t>1E</t>
  </si>
  <si>
    <t>Maria del Rosario Alvarado Olivares</t>
  </si>
  <si>
    <t>Emilia Flores Martínez</t>
  </si>
  <si>
    <t>Maria de la Paz Ramirez Lopez</t>
  </si>
  <si>
    <t>Jardinero Casa de la cultura</t>
  </si>
  <si>
    <t>Mensajero</t>
  </si>
  <si>
    <t>Jose Candelario Plascencia Rivera</t>
  </si>
  <si>
    <t>Martimiano Alvarado Delgado</t>
  </si>
  <si>
    <t>TOTAL</t>
  </si>
  <si>
    <t>NÓMINA NOS VEMOS SEGURA DEL 01 AL 31 DE AGOSTO DEL 2022</t>
  </si>
  <si>
    <t>NÓMINA SECOVIN DEL 01 AL 31 DE AGOSTO DEL 2022</t>
  </si>
  <si>
    <t>Mauro Dimas Gonzalez Rojas</t>
  </si>
  <si>
    <t>Oscar Villalobos Melendrez</t>
  </si>
  <si>
    <t xml:space="preserve">Dictaminacion </t>
  </si>
  <si>
    <t xml:space="preserve">Encargado de despacho </t>
  </si>
  <si>
    <t>Ricardo Macedo Gonzalez</t>
  </si>
  <si>
    <t>JESUS ALBERTO ROMERO RODRIGUEZ</t>
  </si>
  <si>
    <t>Miguel Ocampo Flores</t>
  </si>
  <si>
    <t>.</t>
  </si>
  <si>
    <t>Silviano Flores Cornejo</t>
  </si>
  <si>
    <t xml:space="preserve">Educación </t>
  </si>
  <si>
    <t>Claudio Perez Reyes</t>
  </si>
  <si>
    <t>LUIS ANGEL LUPERCIO DE LA CRUZ</t>
  </si>
  <si>
    <t>2000, 1ER 2DA OCT</t>
  </si>
  <si>
    <t>1000, 1ER OCT 500</t>
  </si>
  <si>
    <t>Auxiliar administrativa</t>
  </si>
  <si>
    <t>Gabriela Michel Villarreal Rosales</t>
  </si>
  <si>
    <t>2da quincena Diciembre</t>
  </si>
  <si>
    <t>+</t>
  </si>
  <si>
    <t>4. Tarifa aplicable cuando hagan pagos que correspondan a un periodo de 15 días, correspondiente a 2023.</t>
  </si>
  <si>
    <t>BASE</t>
  </si>
  <si>
    <t>BAJA</t>
  </si>
  <si>
    <t>Noemi Romero Valencia</t>
  </si>
  <si>
    <t>Celia Olivares Rodriguez</t>
  </si>
  <si>
    <r>
      <t xml:space="preserve">Nomina </t>
    </r>
    <r>
      <rPr>
        <u/>
        <sz val="14"/>
        <color theme="1"/>
        <rFont val="Calibri"/>
        <family val="2"/>
        <scheme val="minor"/>
      </rPr>
      <t>Sindicalizados</t>
    </r>
    <r>
      <rPr>
        <sz val="14"/>
        <color theme="1"/>
        <rFont val="Calibri"/>
        <family val="2"/>
        <scheme val="minor"/>
      </rPr>
      <t xml:space="preserve"> del 01 al 15 de Enero  de 2023</t>
    </r>
  </si>
  <si>
    <t>1era quincena Enero</t>
  </si>
  <si>
    <t>Nomina Seguridad Publica del 01 al 15 de Enero de 2023</t>
  </si>
  <si>
    <r>
      <t xml:space="preserve">Nomina </t>
    </r>
    <r>
      <rPr>
        <u/>
        <sz val="14"/>
        <color theme="1"/>
        <rFont val="Calibri"/>
        <family val="2"/>
        <scheme val="minor"/>
      </rPr>
      <t>Eventuales</t>
    </r>
    <r>
      <rPr>
        <sz val="14"/>
        <color theme="1"/>
        <rFont val="Calibri"/>
        <family val="2"/>
        <scheme val="minor"/>
      </rPr>
      <t xml:space="preserve"> del 01 al 15 de Enero de 2023</t>
    </r>
  </si>
  <si>
    <t>Nomina Eventuales del 01 al 15 de Enero de 2023</t>
  </si>
  <si>
    <t>1era Quincena Enero</t>
  </si>
  <si>
    <t>Nomina Confianza del 01 al 15 de Enero de 2023</t>
  </si>
  <si>
    <t>NÓMINA DE DELEGADOS DEL 01 AL 15 DE ENERO DEL 2023</t>
  </si>
  <si>
    <t>Otras Deducciones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</si>
</sst>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* #,##0_-;\-* #,##0_-;_-* &quot;-&quot;??_-;_-@_-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u/>
      <sz val="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b/>
      <i/>
      <u/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rgb="FF2F2F2F"/>
      <name val="Arial"/>
      <family val="2"/>
    </font>
    <font>
      <sz val="9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i/>
      <u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theme="2" tint="-0.89999084444715716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9">
    <xf numFmtId="0" fontId="0" fillId="0" borderId="0" xfId="0"/>
    <xf numFmtId="0" fontId="3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44" fontId="0" fillId="0" borderId="0" xfId="2" applyFont="1"/>
    <xf numFmtId="43" fontId="0" fillId="0" borderId="0" xfId="1" applyFont="1"/>
    <xf numFmtId="0" fontId="0" fillId="0" borderId="2" xfId="0" applyBorder="1"/>
    <xf numFmtId="0" fontId="4" fillId="0" borderId="0" xfId="0" applyFont="1"/>
    <xf numFmtId="43" fontId="4" fillId="0" borderId="0" xfId="1" applyFont="1"/>
    <xf numFmtId="0" fontId="4" fillId="0" borderId="2" xfId="0" applyFont="1" applyBorder="1"/>
    <xf numFmtId="0" fontId="0" fillId="0" borderId="3" xfId="0" applyBorder="1"/>
    <xf numFmtId="43" fontId="0" fillId="0" borderId="0" xfId="1" applyFont="1" applyBorder="1"/>
    <xf numFmtId="43" fontId="2" fillId="0" borderId="0" xfId="1" applyFont="1"/>
    <xf numFmtId="43" fontId="0" fillId="0" borderId="0" xfId="0" applyNumberFormat="1"/>
    <xf numFmtId="0" fontId="2" fillId="0" borderId="0" xfId="0" applyFont="1" applyAlignment="1">
      <alignment horizontal="center"/>
    </xf>
    <xf numFmtId="43" fontId="4" fillId="0" borderId="0" xfId="1" applyFont="1" applyBorder="1"/>
    <xf numFmtId="43" fontId="0" fillId="0" borderId="2" xfId="1" applyFont="1" applyBorder="1"/>
    <xf numFmtId="0" fontId="2" fillId="0" borderId="0" xfId="0" applyFont="1"/>
    <xf numFmtId="44" fontId="0" fillId="0" borderId="0" xfId="0" applyNumberFormat="1"/>
    <xf numFmtId="43" fontId="0" fillId="0" borderId="0" xfId="1" applyFont="1" applyFill="1"/>
    <xf numFmtId="44" fontId="4" fillId="0" borderId="0" xfId="0" applyNumberFormat="1" applyFont="1"/>
    <xf numFmtId="0" fontId="5" fillId="0" borderId="0" xfId="0" applyFont="1" applyAlignment="1">
      <alignment horizontal="center"/>
    </xf>
    <xf numFmtId="43" fontId="5" fillId="0" borderId="0" xfId="1" applyFont="1"/>
    <xf numFmtId="43" fontId="2" fillId="0" borderId="0" xfId="0" applyNumberFormat="1" applyFont="1"/>
    <xf numFmtId="43" fontId="2" fillId="0" borderId="0" xfId="1" applyFont="1" applyBorder="1"/>
    <xf numFmtId="0" fontId="0" fillId="0" borderId="0" xfId="0" applyAlignment="1">
      <alignment horizontal="center"/>
    </xf>
    <xf numFmtId="43" fontId="0" fillId="0" borderId="0" xfId="1" applyFont="1" applyFill="1" applyBorder="1"/>
    <xf numFmtId="43" fontId="4" fillId="0" borderId="0" xfId="1" applyFont="1" applyFill="1" applyBorder="1"/>
    <xf numFmtId="44" fontId="0" fillId="0" borderId="0" xfId="2" applyFont="1" applyBorder="1"/>
    <xf numFmtId="13" fontId="0" fillId="0" borderId="0" xfId="1" applyNumberFormat="1" applyFont="1"/>
    <xf numFmtId="0" fontId="9" fillId="0" borderId="0" xfId="0" applyFont="1"/>
    <xf numFmtId="43" fontId="9" fillId="0" borderId="0" xfId="1" applyFont="1"/>
    <xf numFmtId="44" fontId="9" fillId="0" borderId="0" xfId="2" applyFont="1"/>
    <xf numFmtId="165" fontId="0" fillId="0" borderId="0" xfId="1" applyNumberFormat="1" applyFont="1"/>
    <xf numFmtId="0" fontId="7" fillId="0" borderId="0" xfId="0" applyFont="1" applyAlignment="1">
      <alignment horizontal="center"/>
    </xf>
    <xf numFmtId="43" fontId="7" fillId="0" borderId="0" xfId="1" applyFont="1" applyBorder="1"/>
    <xf numFmtId="43" fontId="0" fillId="0" borderId="2" xfId="1" applyFont="1" applyFill="1" applyBorder="1"/>
    <xf numFmtId="43" fontId="2" fillId="0" borderId="0" xfId="1" applyFont="1" applyFill="1"/>
    <xf numFmtId="0" fontId="4" fillId="0" borderId="0" xfId="0" applyFont="1" applyAlignment="1">
      <alignment horizontal="center"/>
    </xf>
    <xf numFmtId="43" fontId="2" fillId="0" borderId="3" xfId="1" applyFont="1" applyFill="1" applyBorder="1"/>
    <xf numFmtId="0" fontId="11" fillId="0" borderId="0" xfId="0" applyFont="1"/>
    <xf numFmtId="44" fontId="2" fillId="0" borderId="0" xfId="0" applyNumberFormat="1" applyFont="1"/>
    <xf numFmtId="0" fontId="2" fillId="7" borderId="0" xfId="0" applyFont="1" applyFill="1"/>
    <xf numFmtId="44" fontId="5" fillId="0" borderId="0" xfId="0" applyNumberFormat="1" applyFont="1"/>
    <xf numFmtId="44" fontId="2" fillId="0" borderId="0" xfId="2" applyFont="1"/>
    <xf numFmtId="0" fontId="12" fillId="0" borderId="0" xfId="0" applyFont="1"/>
    <xf numFmtId="0" fontId="13" fillId="0" borderId="0" xfId="0" applyFont="1" applyAlignment="1">
      <alignment horizontal="center"/>
    </xf>
    <xf numFmtId="0" fontId="14" fillId="2" borderId="0" xfId="0" applyFont="1" applyFill="1" applyAlignment="1">
      <alignment horizontal="center" wrapText="1"/>
    </xf>
    <xf numFmtId="0" fontId="12" fillId="0" borderId="0" xfId="0" applyFont="1" applyAlignment="1">
      <alignment horizontal="center"/>
    </xf>
    <xf numFmtId="43" fontId="11" fillId="0" borderId="4" xfId="1" applyFont="1" applyFill="1" applyBorder="1"/>
    <xf numFmtId="43" fontId="11" fillId="0" borderId="4" xfId="1" applyFont="1" applyBorder="1"/>
    <xf numFmtId="44" fontId="11" fillId="0" borderId="4" xfId="2" applyFont="1" applyFill="1" applyBorder="1"/>
    <xf numFmtId="43" fontId="12" fillId="0" borderId="0" xfId="1" applyFont="1"/>
    <xf numFmtId="43" fontId="11" fillId="0" borderId="0" xfId="1" applyFont="1" applyBorder="1"/>
    <xf numFmtId="44" fontId="11" fillId="0" borderId="0" xfId="2" applyFont="1" applyBorder="1"/>
    <xf numFmtId="43" fontId="11" fillId="0" borderId="0" xfId="1" applyFont="1" applyFill="1"/>
    <xf numFmtId="43" fontId="11" fillId="0" borderId="0" xfId="1" applyFont="1"/>
    <xf numFmtId="0" fontId="15" fillId="0" borderId="0" xfId="0" applyFont="1"/>
    <xf numFmtId="43" fontId="11" fillId="0" borderId="0" xfId="1" applyFont="1" applyFill="1" applyBorder="1"/>
    <xf numFmtId="43" fontId="12" fillId="0" borderId="0" xfId="1" applyFont="1" applyBorder="1"/>
    <xf numFmtId="0" fontId="11" fillId="0" borderId="4" xfId="0" applyFont="1" applyBorder="1"/>
    <xf numFmtId="43" fontId="12" fillId="0" borderId="0" xfId="1" applyFont="1" applyFill="1"/>
    <xf numFmtId="43" fontId="15" fillId="0" borderId="0" xfId="1" applyFont="1" applyFill="1"/>
    <xf numFmtId="43" fontId="15" fillId="0" borderId="0" xfId="1" applyFont="1"/>
    <xf numFmtId="43" fontId="15" fillId="0" borderId="0" xfId="1" applyFont="1" applyBorder="1"/>
    <xf numFmtId="44" fontId="12" fillId="5" borderId="5" xfId="2" applyFont="1" applyFill="1" applyBorder="1"/>
    <xf numFmtId="43" fontId="11" fillId="0" borderId="0" xfId="0" applyNumberFormat="1" applyFont="1"/>
    <xf numFmtId="43" fontId="11" fillId="0" borderId="0" xfId="0" applyNumberFormat="1" applyFont="1" applyAlignment="1">
      <alignment horizontal="center" wrapText="1"/>
    </xf>
    <xf numFmtId="43" fontId="12" fillId="0" borderId="0" xfId="0" applyNumberFormat="1" applyFont="1"/>
    <xf numFmtId="43" fontId="3" fillId="2" borderId="0" xfId="1" applyFont="1" applyFill="1" applyAlignment="1">
      <alignment horizontal="center" wrapText="1"/>
    </xf>
    <xf numFmtId="43" fontId="3" fillId="0" borderId="0" xfId="1" applyFont="1" applyFill="1" applyAlignment="1">
      <alignment horizontal="center" wrapText="1"/>
    </xf>
    <xf numFmtId="164" fontId="0" fillId="0" borderId="0" xfId="1" applyNumberFormat="1" applyFont="1" applyFill="1"/>
    <xf numFmtId="43" fontId="0" fillId="0" borderId="0" xfId="0" applyNumberForma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43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16" fontId="0" fillId="0" borderId="0" xfId="0" applyNumberFormat="1"/>
    <xf numFmtId="44" fontId="2" fillId="5" borderId="3" xfId="2" applyFont="1" applyFill="1" applyBorder="1"/>
    <xf numFmtId="0" fontId="7" fillId="0" borderId="0" xfId="0" applyFont="1"/>
    <xf numFmtId="43" fontId="2" fillId="0" borderId="0" xfId="1" applyFont="1" applyFill="1" applyBorder="1"/>
    <xf numFmtId="43" fontId="0" fillId="0" borderId="8" xfId="1" applyFont="1" applyFill="1" applyBorder="1"/>
    <xf numFmtId="0" fontId="0" fillId="0" borderId="3" xfId="0" applyBorder="1" applyAlignment="1">
      <alignment horizontal="center"/>
    </xf>
    <xf numFmtId="0" fontId="17" fillId="0" borderId="0" xfId="0" applyFont="1"/>
    <xf numFmtId="0" fontId="18" fillId="2" borderId="0" xfId="0" applyFont="1" applyFill="1" applyAlignment="1">
      <alignment horizontal="center" wrapText="1"/>
    </xf>
    <xf numFmtId="43" fontId="19" fillId="2" borderId="0" xfId="1" applyFont="1" applyFill="1" applyAlignment="1">
      <alignment horizontal="center" wrapText="1"/>
    </xf>
    <xf numFmtId="0" fontId="18" fillId="0" borderId="0" xfId="0" applyFont="1" applyAlignment="1">
      <alignment horizontal="center" wrapText="1"/>
    </xf>
    <xf numFmtId="43" fontId="17" fillId="0" borderId="0" xfId="1" applyFont="1" applyFill="1"/>
    <xf numFmtId="43" fontId="17" fillId="0" borderId="0" xfId="1" applyFont="1"/>
    <xf numFmtId="44" fontId="17" fillId="0" borderId="0" xfId="2" applyFont="1" applyFill="1"/>
    <xf numFmtId="44" fontId="16" fillId="5" borderId="1" xfId="0" applyNumberFormat="1" applyFont="1" applyFill="1" applyBorder="1"/>
    <xf numFmtId="43" fontId="16" fillId="5" borderId="1" xfId="1" applyFont="1" applyFill="1" applyBorder="1"/>
    <xf numFmtId="44" fontId="16" fillId="0" borderId="0" xfId="0" applyNumberFormat="1" applyFont="1"/>
    <xf numFmtId="43" fontId="16" fillId="0" borderId="0" xfId="1" applyFont="1" applyFill="1" applyBorder="1"/>
    <xf numFmtId="0" fontId="9" fillId="0" borderId="2" xfId="0" applyFont="1" applyBorder="1" applyAlignment="1">
      <alignment horizontal="center"/>
    </xf>
    <xf numFmtId="0" fontId="21" fillId="0" borderId="0" xfId="0" applyFont="1"/>
    <xf numFmtId="0" fontId="22" fillId="0" borderId="0" xfId="0" applyFont="1"/>
    <xf numFmtId="4" fontId="2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0" fillId="0" borderId="0" xfId="0" applyNumberFormat="1"/>
    <xf numFmtId="43" fontId="15" fillId="0" borderId="0" xfId="1" applyFont="1" applyFill="1" applyBorder="1"/>
    <xf numFmtId="43" fontId="5" fillId="0" borderId="0" xfId="1" applyFont="1" applyBorder="1"/>
    <xf numFmtId="43" fontId="4" fillId="0" borderId="0" xfId="0" applyNumberFormat="1" applyFont="1" applyAlignment="1">
      <alignment horizontal="center" wrapText="1"/>
    </xf>
    <xf numFmtId="43" fontId="7" fillId="0" borderId="0" xfId="1" applyFont="1" applyFill="1" applyBorder="1"/>
    <xf numFmtId="43" fontId="2" fillId="0" borderId="0" xfId="1" applyFont="1" applyBorder="1" applyAlignment="1">
      <alignment horizontal="center"/>
    </xf>
    <xf numFmtId="13" fontId="0" fillId="0" borderId="0" xfId="0" applyNumberFormat="1"/>
    <xf numFmtId="165" fontId="0" fillId="0" borderId="0" xfId="1" applyNumberFormat="1" applyFont="1" applyBorder="1"/>
    <xf numFmtId="0" fontId="20" fillId="0" borderId="0" xfId="0" applyFont="1"/>
    <xf numFmtId="43" fontId="23" fillId="0" borderId="0" xfId="1" applyFont="1" applyAlignment="1">
      <alignment horizontal="center"/>
    </xf>
    <xf numFmtId="0" fontId="24" fillId="0" borderId="0" xfId="0" applyFont="1"/>
    <xf numFmtId="0" fontId="25" fillId="0" borderId="0" xfId="0" applyFont="1"/>
    <xf numFmtId="0" fontId="23" fillId="0" borderId="0" xfId="0" applyFont="1"/>
    <xf numFmtId="0" fontId="26" fillId="0" borderId="0" xfId="0" applyFont="1"/>
    <xf numFmtId="0" fontId="29" fillId="0" borderId="0" xfId="0" applyFont="1"/>
    <xf numFmtId="0" fontId="28" fillId="0" borderId="0" xfId="0" applyFont="1"/>
    <xf numFmtId="0" fontId="2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8" fillId="3" borderId="0" xfId="0" applyFont="1" applyFill="1" applyAlignment="1">
      <alignment horizontal="center" wrapText="1"/>
    </xf>
    <xf numFmtId="0" fontId="29" fillId="4" borderId="0" xfId="0" applyFont="1" applyFill="1"/>
    <xf numFmtId="49" fontId="29" fillId="0" borderId="0" xfId="0" applyNumberFormat="1" applyFont="1"/>
    <xf numFmtId="14" fontId="29" fillId="0" borderId="0" xfId="0" applyNumberFormat="1" applyFont="1"/>
    <xf numFmtId="43" fontId="28" fillId="3" borderId="0" xfId="2" applyNumberFormat="1" applyFont="1" applyFill="1"/>
    <xf numFmtId="0" fontId="29" fillId="0" borderId="2" xfId="0" applyFont="1" applyBorder="1"/>
    <xf numFmtId="0" fontId="28" fillId="0" borderId="0" xfId="0" applyFont="1" applyAlignment="1">
      <alignment horizontal="right"/>
    </xf>
    <xf numFmtId="43" fontId="31" fillId="0" borderId="0" xfId="2" applyNumberFormat="1" applyFont="1"/>
    <xf numFmtId="43" fontId="28" fillId="0" borderId="0" xfId="0" applyNumberFormat="1" applyFont="1"/>
    <xf numFmtId="0" fontId="12" fillId="6" borderId="0" xfId="0" applyFont="1" applyFill="1" applyAlignment="1">
      <alignment horizontal="center"/>
    </xf>
    <xf numFmtId="0" fontId="12" fillId="0" borderId="0" xfId="0" applyFont="1" applyAlignment="1">
      <alignment vertical="center"/>
    </xf>
    <xf numFmtId="44" fontId="2" fillId="0" borderId="3" xfId="0" applyNumberFormat="1" applyFont="1" applyBorder="1"/>
    <xf numFmtId="43" fontId="23" fillId="0" borderId="0" xfId="0" applyNumberFormat="1" applyFont="1"/>
    <xf numFmtId="43" fontId="23" fillId="0" borderId="0" xfId="1" applyFont="1" applyFill="1"/>
    <xf numFmtId="43" fontId="23" fillId="0" borderId="0" xfId="1" applyFont="1"/>
    <xf numFmtId="0" fontId="9" fillId="0" borderId="0" xfId="0" applyFont="1" applyAlignment="1">
      <alignment horizontal="center"/>
    </xf>
    <xf numFmtId="44" fontId="12" fillId="0" borderId="0" xfId="2" applyFont="1" applyFill="1" applyBorder="1"/>
    <xf numFmtId="0" fontId="33" fillId="0" borderId="0" xfId="0" applyFont="1"/>
    <xf numFmtId="43" fontId="33" fillId="0" borderId="0" xfId="1" applyFont="1" applyFill="1" applyBorder="1"/>
    <xf numFmtId="43" fontId="33" fillId="0" borderId="0" xfId="1" applyFont="1" applyBorder="1"/>
    <xf numFmtId="43" fontId="33" fillId="0" borderId="0" xfId="0" applyNumberFormat="1" applyFont="1"/>
    <xf numFmtId="43" fontId="26" fillId="0" borderId="0" xfId="1" applyFont="1"/>
    <xf numFmtId="0" fontId="23" fillId="0" borderId="0" xfId="0" applyFont="1" applyAlignment="1">
      <alignment horizontal="center"/>
    </xf>
    <xf numFmtId="43" fontId="26" fillId="0" borderId="0" xfId="1" applyFont="1" applyFill="1" applyBorder="1"/>
    <xf numFmtId="43" fontId="26" fillId="0" borderId="0" xfId="1" applyFont="1" applyBorder="1"/>
    <xf numFmtId="43" fontId="26" fillId="0" borderId="2" xfId="1" applyFont="1" applyBorder="1"/>
    <xf numFmtId="43" fontId="26" fillId="0" borderId="2" xfId="1" applyFont="1" applyFill="1" applyBorder="1"/>
    <xf numFmtId="43" fontId="26" fillId="0" borderId="0" xfId="1" applyFont="1" applyFill="1"/>
    <xf numFmtId="0" fontId="26" fillId="0" borderId="2" xfId="0" applyFont="1" applyBorder="1"/>
    <xf numFmtId="43" fontId="9" fillId="0" borderId="0" xfId="1" applyFont="1" applyFill="1"/>
    <xf numFmtId="43" fontId="1" fillId="0" borderId="0" xfId="1" applyFont="1" applyFill="1" applyBorder="1" applyAlignment="1">
      <alignment horizontal="center"/>
    </xf>
    <xf numFmtId="43" fontId="12" fillId="0" borderId="0" xfId="1" applyFont="1" applyFill="1" applyBorder="1"/>
    <xf numFmtId="43" fontId="4" fillId="0" borderId="0" xfId="1" applyFont="1" applyFill="1"/>
    <xf numFmtId="43" fontId="5" fillId="0" borderId="0" xfId="1" applyFont="1" applyFill="1"/>
    <xf numFmtId="43" fontId="5" fillId="0" borderId="0" xfId="1" applyFont="1" applyFill="1" applyBorder="1"/>
    <xf numFmtId="0" fontId="0" fillId="0" borderId="6" xfId="0" applyBorder="1" applyAlignment="1">
      <alignment horizontal="center"/>
    </xf>
    <xf numFmtId="43" fontId="18" fillId="2" borderId="0" xfId="1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43" fontId="2" fillId="0" borderId="0" xfId="1" applyFont="1" applyFill="1" applyAlignment="1">
      <alignment horizontal="center" wrapText="1"/>
    </xf>
    <xf numFmtId="43" fontId="0" fillId="0" borderId="2" xfId="0" applyNumberFormat="1" applyBorder="1"/>
    <xf numFmtId="43" fontId="2" fillId="0" borderId="3" xfId="1" applyFont="1" applyBorder="1"/>
    <xf numFmtId="43" fontId="2" fillId="0" borderId="2" xfId="1" applyFont="1" applyFill="1" applyBorder="1"/>
    <xf numFmtId="43" fontId="2" fillId="0" borderId="2" xfId="1" applyFont="1" applyBorder="1"/>
    <xf numFmtId="0" fontId="27" fillId="0" borderId="0" xfId="0" applyFont="1"/>
    <xf numFmtId="0" fontId="4" fillId="0" borderId="2" xfId="0" applyFont="1" applyBorder="1" applyAlignment="1">
      <alignment horizontal="center"/>
    </xf>
    <xf numFmtId="2" fontId="0" fillId="0" borderId="0" xfId="0" applyNumberFormat="1"/>
    <xf numFmtId="16" fontId="0" fillId="0" borderId="2" xfId="0" applyNumberFormat="1" applyBorder="1"/>
    <xf numFmtId="43" fontId="1" fillId="0" borderId="2" xfId="1" applyFont="1" applyFill="1" applyBorder="1"/>
    <xf numFmtId="43" fontId="26" fillId="0" borderId="0" xfId="0" applyNumberFormat="1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6" borderId="0" xfId="0" applyFont="1" applyFill="1" applyAlignment="1">
      <alignment horizontal="center"/>
    </xf>
    <xf numFmtId="0" fontId="34" fillId="0" borderId="0" xfId="0" applyFont="1" applyAlignment="1">
      <alignment horizontal="center"/>
    </xf>
    <xf numFmtId="0" fontId="28" fillId="4" borderId="0" xfId="0" applyFont="1" applyFill="1" applyAlignment="1">
      <alignment horizontal="center"/>
    </xf>
    <xf numFmtId="43" fontId="17" fillId="0" borderId="0" xfId="1" applyFont="1" applyFill="1" applyBorder="1"/>
    <xf numFmtId="44" fontId="17" fillId="0" borderId="0" xfId="2" applyFont="1" applyFill="1" applyBorder="1"/>
    <xf numFmtId="43" fontId="1" fillId="0" borderId="2" xfId="1" applyFont="1" applyBorder="1"/>
    <xf numFmtId="0" fontId="35" fillId="0" borderId="0" xfId="0" applyFont="1" applyAlignment="1">
      <alignment horizontal="center"/>
    </xf>
    <xf numFmtId="0" fontId="2" fillId="6" borderId="0" xfId="0" applyFont="1" applyFill="1" applyAlignment="1">
      <alignment horizontal="center"/>
    </xf>
    <xf numFmtId="0" fontId="15" fillId="0" borderId="0" xfId="0" applyFont="1" applyAlignment="1">
      <alignment horizontal="left"/>
    </xf>
    <xf numFmtId="43" fontId="23" fillId="0" borderId="2" xfId="1" applyFont="1" applyBorder="1"/>
    <xf numFmtId="43" fontId="1" fillId="0" borderId="0" xfId="1" applyFont="1" applyFill="1" applyBorder="1"/>
    <xf numFmtId="43" fontId="1" fillId="0" borderId="0" xfId="1" applyFont="1" applyBorder="1"/>
    <xf numFmtId="43" fontId="26" fillId="0" borderId="6" xfId="1" applyFont="1" applyBorder="1"/>
    <xf numFmtId="43" fontId="23" fillId="0" borderId="6" xfId="1" applyFont="1" applyBorder="1"/>
    <xf numFmtId="43" fontId="1" fillId="0" borderId="0" xfId="1" applyFont="1"/>
    <xf numFmtId="43" fontId="1" fillId="0" borderId="0" xfId="1" applyFont="1" applyFill="1"/>
    <xf numFmtId="0" fontId="0" fillId="0" borderId="0" xfId="0" applyAlignment="1">
      <alignment horizontal="left"/>
    </xf>
    <xf numFmtId="43" fontId="1" fillId="0" borderId="0" xfId="1" applyFont="1" applyAlignment="1">
      <alignment horizontal="left"/>
    </xf>
    <xf numFmtId="43" fontId="1" fillId="0" borderId="0" xfId="1" applyFont="1" applyFill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44" fontId="0" fillId="0" borderId="0" xfId="2" applyFont="1" applyAlignment="1">
      <alignment horizontal="center"/>
    </xf>
    <xf numFmtId="44" fontId="26" fillId="0" borderId="0" xfId="0" applyNumberFormat="1" applyFont="1"/>
    <xf numFmtId="43" fontId="23" fillId="0" borderId="2" xfId="1" applyFont="1" applyBorder="1" applyAlignment="1">
      <alignment horizontal="left"/>
    </xf>
    <xf numFmtId="44" fontId="33" fillId="0" borderId="0" xfId="0" applyNumberFormat="1" applyFont="1"/>
    <xf numFmtId="44" fontId="23" fillId="0" borderId="0" xfId="2" applyFont="1"/>
    <xf numFmtId="44" fontId="23" fillId="0" borderId="0" xfId="2" applyFont="1" applyFill="1"/>
    <xf numFmtId="0" fontId="2" fillId="6" borderId="0" xfId="0" applyFont="1" applyFill="1"/>
    <xf numFmtId="44" fontId="0" fillId="0" borderId="0" xfId="2" applyFont="1" applyFill="1"/>
    <xf numFmtId="44" fontId="4" fillId="0" borderId="0" xfId="2" applyFont="1" applyBorder="1" applyAlignment="1">
      <alignment horizontal="center"/>
    </xf>
    <xf numFmtId="44" fontId="2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29" fillId="3" borderId="0" xfId="0" applyFont="1" applyFill="1" applyAlignment="1">
      <alignment horizontal="center" wrapText="1"/>
    </xf>
    <xf numFmtId="0" fontId="29" fillId="4" borderId="0" xfId="0" applyFont="1" applyFill="1" applyAlignment="1">
      <alignment horizontal="center"/>
    </xf>
    <xf numFmtId="43" fontId="29" fillId="3" borderId="0" xfId="2" applyNumberFormat="1" applyFont="1" applyFill="1"/>
    <xf numFmtId="43" fontId="37" fillId="0" borderId="0" xfId="2" applyNumberFormat="1" applyFont="1"/>
    <xf numFmtId="43" fontId="29" fillId="0" borderId="0" xfId="0" applyNumberFormat="1" applyFont="1"/>
    <xf numFmtId="0" fontId="38" fillId="0" borderId="0" xfId="0" applyFont="1" applyAlignment="1">
      <alignment horizontal="center"/>
    </xf>
    <xf numFmtId="0" fontId="2" fillId="9" borderId="0" xfId="0" applyFont="1" applyFill="1" applyAlignment="1">
      <alignment horizontal="center"/>
    </xf>
    <xf numFmtId="44" fontId="0" fillId="0" borderId="0" xfId="0" applyNumberFormat="1" applyAlignment="1">
      <alignment horizontal="center" wrapText="1"/>
    </xf>
    <xf numFmtId="43" fontId="23" fillId="0" borderId="2" xfId="1" applyFont="1" applyFill="1" applyBorder="1"/>
    <xf numFmtId="0" fontId="2" fillId="8" borderId="0" xfId="0" applyFont="1" applyFill="1" applyAlignment="1">
      <alignment horizontal="center"/>
    </xf>
    <xf numFmtId="0" fontId="23" fillId="0" borderId="0" xfId="0" applyFont="1" applyAlignment="1">
      <alignment horizontal="left"/>
    </xf>
    <xf numFmtId="0" fontId="40" fillId="0" borderId="0" xfId="0" applyFont="1" applyAlignment="1">
      <alignment horizontal="center"/>
    </xf>
    <xf numFmtId="43" fontId="0" fillId="0" borderId="0" xfId="0" applyNumberFormat="1" applyAlignment="1">
      <alignment horizontal="center"/>
    </xf>
    <xf numFmtId="0" fontId="5" fillId="0" borderId="0" xfId="0" applyFont="1"/>
    <xf numFmtId="43" fontId="11" fillId="0" borderId="2" xfId="1" applyFont="1" applyBorder="1"/>
    <xf numFmtId="44" fontId="11" fillId="0" borderId="0" xfId="0" applyNumberFormat="1" applyFont="1"/>
    <xf numFmtId="44" fontId="0" fillId="0" borderId="0" xfId="2" applyFont="1" applyFill="1" applyBorder="1"/>
    <xf numFmtId="0" fontId="12" fillId="0" borderId="7" xfId="0" applyFont="1" applyBorder="1"/>
    <xf numFmtId="14" fontId="0" fillId="0" borderId="0" xfId="0" applyNumberFormat="1"/>
    <xf numFmtId="43" fontId="39" fillId="0" borderId="0" xfId="0" applyNumberFormat="1" applyFont="1"/>
    <xf numFmtId="9" fontId="0" fillId="0" borderId="0" xfId="0" applyNumberFormat="1"/>
    <xf numFmtId="0" fontId="1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11" borderId="0" xfId="0" applyFill="1"/>
    <xf numFmtId="43" fontId="2" fillId="11" borderId="0" xfId="0" applyNumberFormat="1" applyFont="1" applyFill="1"/>
    <xf numFmtId="0" fontId="7" fillId="11" borderId="0" xfId="0" applyFont="1" applyFill="1"/>
    <xf numFmtId="0" fontId="0" fillId="10" borderId="0" xfId="0" applyFill="1"/>
    <xf numFmtId="43" fontId="2" fillId="10" borderId="0" xfId="0" applyNumberFormat="1" applyFont="1" applyFill="1"/>
    <xf numFmtId="0" fontId="18" fillId="2" borderId="0" xfId="0" applyFont="1" applyFill="1" applyAlignment="1">
      <alignment horizontal="center" vertical="center" wrapText="1"/>
    </xf>
    <xf numFmtId="43" fontId="19" fillId="2" borderId="0" xfId="1" applyFont="1" applyFill="1" applyAlignment="1">
      <alignment horizontal="center" vertical="center" wrapText="1"/>
    </xf>
    <xf numFmtId="43" fontId="2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26" fillId="0" borderId="0" xfId="0" applyFont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center"/>
    </xf>
    <xf numFmtId="164" fontId="0" fillId="0" borderId="3" xfId="0" applyNumberFormat="1" applyBorder="1" applyAlignment="1">
      <alignment horizontal="center"/>
    </xf>
    <xf numFmtId="43" fontId="0" fillId="0" borderId="3" xfId="0" applyNumberFormat="1" applyBorder="1" applyAlignment="1">
      <alignment horizontal="center"/>
    </xf>
    <xf numFmtId="0" fontId="6" fillId="0" borderId="0" xfId="0" applyFont="1" applyAlignment="1">
      <alignment horizontal="center"/>
    </xf>
    <xf numFmtId="43" fontId="0" fillId="0" borderId="0" xfId="0" applyNumberFormat="1" applyAlignment="1">
      <alignment horizontal="center"/>
    </xf>
    <xf numFmtId="0" fontId="28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8" fillId="0" borderId="3" xfId="0" applyFont="1" applyBorder="1" applyAlignment="1">
      <alignment horizontal="center"/>
    </xf>
    <xf numFmtId="0" fontId="23" fillId="2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/>
    </xf>
    <xf numFmtId="0" fontId="29" fillId="0" borderId="3" xfId="0" applyFont="1" applyBorder="1" applyAlignment="1">
      <alignment horizontal="center"/>
    </xf>
    <xf numFmtId="0" fontId="29" fillId="0" borderId="0" xfId="0" applyFont="1" applyAlignment="1">
      <alignment horizontal="center"/>
    </xf>
  </cellXfs>
  <cellStyles count="7">
    <cellStyle name="Millares" xfId="1" builtinId="3"/>
    <cellStyle name="Millares 2" xfId="3"/>
    <cellStyle name="Millares 3" xfId="5"/>
    <cellStyle name="Moneda" xfId="2" builtinId="4"/>
    <cellStyle name="Moneda 2" xfId="4"/>
    <cellStyle name="Moneda 3" xfId="6"/>
    <cellStyle name="Normal" xfId="0" builtinId="0"/>
  </cellStyles>
  <dxfs count="0"/>
  <tableStyles count="0" defaultTableStyle="TableStyleMedium2" defaultPivotStyle="PivotStyleLight16"/>
  <colors>
    <mruColors>
      <color rgb="FFBC14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B140"/>
  <sheetViews>
    <sheetView zoomScale="89" zoomScaleNormal="89" workbookViewId="0">
      <pane xSplit="5" topLeftCell="F1" activePane="topRight" state="frozen"/>
      <selection pane="topRight" activeCell="K70" sqref="K70"/>
    </sheetView>
  </sheetViews>
  <sheetFormatPr baseColWidth="10" defaultColWidth="11.42578125" defaultRowHeight="15" x14ac:dyDescent="0.25"/>
  <cols>
    <col min="1" max="1" width="11.140625" style="24" customWidth="1"/>
    <col min="2" max="2" width="6.42578125" style="13" customWidth="1"/>
    <col min="3" max="3" width="44.7109375" customWidth="1"/>
    <col min="4" max="4" width="27.85546875" customWidth="1"/>
    <col min="5" max="5" width="18.140625" customWidth="1"/>
    <col min="6" max="6" width="17" customWidth="1"/>
    <col min="7" max="7" width="13" customWidth="1"/>
    <col min="8" max="8" width="15.140625" customWidth="1"/>
    <col min="9" max="9" width="14.140625" customWidth="1"/>
    <col min="10" max="10" width="14.7109375" customWidth="1"/>
    <col min="11" max="11" width="13.7109375" customWidth="1"/>
    <col min="12" max="12" width="11.42578125" customWidth="1"/>
    <col min="13" max="13" width="12.5703125" customWidth="1"/>
    <col min="14" max="14" width="14.140625" customWidth="1"/>
    <col min="15" max="15" width="25.7109375" customWidth="1"/>
    <col min="16" max="16" width="53.28515625" customWidth="1"/>
    <col min="17" max="17" width="13.28515625" customWidth="1"/>
    <col min="18" max="18" width="26" customWidth="1"/>
    <col min="19" max="19" width="19.28515625" customWidth="1"/>
    <col min="20" max="20" width="13.85546875" customWidth="1"/>
  </cols>
  <sheetData>
    <row r="1" spans="1:28" x14ac:dyDescent="0.25">
      <c r="I1" t="s">
        <v>508</v>
      </c>
    </row>
    <row r="2" spans="1:28" ht="18.75" x14ac:dyDescent="0.3">
      <c r="B2" s="13" t="s">
        <v>406</v>
      </c>
      <c r="C2" s="240" t="s">
        <v>0</v>
      </c>
      <c r="D2" s="240"/>
      <c r="E2" s="240"/>
      <c r="F2" s="240"/>
      <c r="G2" s="39"/>
      <c r="H2" s="39"/>
      <c r="I2" s="39"/>
      <c r="J2" s="39"/>
      <c r="K2" s="39"/>
      <c r="L2" s="39"/>
      <c r="M2" s="39"/>
      <c r="N2" s="39"/>
      <c r="O2" s="39"/>
    </row>
    <row r="3" spans="1:28" ht="18.75" x14ac:dyDescent="0.3">
      <c r="C3" s="231" t="s">
        <v>512</v>
      </c>
      <c r="D3" s="231"/>
      <c r="E3" s="231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28" ht="15.75" x14ac:dyDescent="0.25"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t="s">
        <v>496</v>
      </c>
    </row>
    <row r="5" spans="1:28" ht="15.75" x14ac:dyDescent="0.25">
      <c r="C5" s="45" t="s">
        <v>13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173"/>
    </row>
    <row r="6" spans="1:28" ht="15.75" x14ac:dyDescent="0.25">
      <c r="C6" s="47" t="s">
        <v>328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 t="s">
        <v>513</v>
      </c>
    </row>
    <row r="7" spans="1:28" ht="47.25" x14ac:dyDescent="0.25">
      <c r="A7" s="24" t="s">
        <v>146</v>
      </c>
      <c r="B7" s="13" t="s">
        <v>401</v>
      </c>
      <c r="C7" s="46" t="s">
        <v>1</v>
      </c>
      <c r="D7" s="46" t="s">
        <v>2</v>
      </c>
      <c r="E7" s="46" t="s">
        <v>3</v>
      </c>
      <c r="F7" s="46" t="s">
        <v>4</v>
      </c>
      <c r="G7" s="46" t="s">
        <v>8</v>
      </c>
      <c r="H7" s="46" t="s">
        <v>29</v>
      </c>
      <c r="I7" s="46" t="s">
        <v>30</v>
      </c>
      <c r="J7" s="46" t="s">
        <v>5</v>
      </c>
      <c r="K7" s="46" t="s">
        <v>117</v>
      </c>
      <c r="L7" s="46" t="s">
        <v>11</v>
      </c>
      <c r="M7" s="46" t="s">
        <v>31</v>
      </c>
      <c r="N7" s="46" t="s">
        <v>6</v>
      </c>
      <c r="O7" s="46" t="s">
        <v>12</v>
      </c>
    </row>
    <row r="8" spans="1:28" ht="15.75" x14ac:dyDescent="0.25">
      <c r="C8" s="39"/>
      <c r="D8" s="39"/>
      <c r="E8" s="39"/>
      <c r="F8" s="39"/>
      <c r="H8" s="39"/>
      <c r="I8" s="39"/>
      <c r="J8" s="39"/>
      <c r="K8" s="39"/>
      <c r="L8" s="39"/>
      <c r="M8" s="39"/>
      <c r="N8" s="39"/>
      <c r="O8" s="39"/>
    </row>
    <row r="9" spans="1:28" ht="15.75" x14ac:dyDescent="0.25">
      <c r="C9" s="47" t="s">
        <v>126</v>
      </c>
      <c r="D9" s="39"/>
      <c r="E9" s="39"/>
      <c r="F9" s="39"/>
      <c r="G9" s="39"/>
      <c r="H9" s="39"/>
      <c r="I9" s="39"/>
      <c r="J9" s="65"/>
      <c r="K9" s="39"/>
      <c r="L9" s="39"/>
      <c r="M9" s="39"/>
      <c r="N9" s="39"/>
      <c r="O9" s="39"/>
    </row>
    <row r="10" spans="1:28" ht="35.25" customHeight="1" thickBot="1" x14ac:dyDescent="0.3">
      <c r="A10" s="24" t="s">
        <v>162</v>
      </c>
      <c r="B10" s="13">
        <v>1</v>
      </c>
      <c r="C10" s="39" t="s">
        <v>32</v>
      </c>
      <c r="D10" s="39" t="s">
        <v>33</v>
      </c>
      <c r="E10" s="49">
        <v>5053.32</v>
      </c>
      <c r="F10" s="49">
        <v>0</v>
      </c>
      <c r="G10" s="49">
        <v>200</v>
      </c>
      <c r="H10" s="49">
        <f>(E10/15)*12/2</f>
        <v>2021.328</v>
      </c>
      <c r="I10" s="49"/>
      <c r="J10" s="49">
        <f>(E10-(LOOKUP(E10,ISR!$A$6:$B$17,ISR!$A$6:$A$17)))*(LOOKUP(E10,ISR!$A$6:$B$17,ISR!$D$6:$D$17))+(LOOKUP(E10,ISR!$A$6:$B$17,ISR!$C$6:$C$17))</f>
        <v>393.32084799999996</v>
      </c>
      <c r="K10" s="48">
        <v>0</v>
      </c>
      <c r="L10" s="49"/>
      <c r="M10" s="49">
        <v>28.9</v>
      </c>
      <c r="N10" s="49">
        <v>71.849999999999994</v>
      </c>
      <c r="O10" s="50">
        <f>E10+F10+G10+H10+I10-J10-K10-L10-M10-N10</f>
        <v>6780.5771519999989</v>
      </c>
      <c r="P10" s="234" t="s">
        <v>34</v>
      </c>
      <c r="Q10" s="234"/>
      <c r="R10" s="234"/>
      <c r="S10" s="27"/>
    </row>
    <row r="11" spans="1:28" ht="24.75" customHeight="1" x14ac:dyDescent="0.25">
      <c r="C11" s="39"/>
      <c r="D11" s="39"/>
      <c r="E11" s="51">
        <f>SUM(E10)</f>
        <v>5053.32</v>
      </c>
      <c r="F11" s="51">
        <f t="shared" ref="F11:N11" si="0">SUM(F10)</f>
        <v>0</v>
      </c>
      <c r="G11" s="51">
        <f t="shared" si="0"/>
        <v>200</v>
      </c>
      <c r="H11" s="51">
        <f t="shared" si="0"/>
        <v>2021.328</v>
      </c>
      <c r="I11" s="51">
        <f t="shared" si="0"/>
        <v>0</v>
      </c>
      <c r="J11" s="51">
        <f t="shared" si="0"/>
        <v>393.32084799999996</v>
      </c>
      <c r="K11" s="60">
        <f t="shared" si="0"/>
        <v>0</v>
      </c>
      <c r="L11" s="51">
        <f t="shared" si="0"/>
        <v>0</v>
      </c>
      <c r="M11" s="51">
        <f t="shared" si="0"/>
        <v>28.9</v>
      </c>
      <c r="N11" s="51">
        <f t="shared" si="0"/>
        <v>71.849999999999994</v>
      </c>
      <c r="O11" s="51">
        <f>SUM(O10)</f>
        <v>6780.5771519999989</v>
      </c>
      <c r="S11" s="27"/>
      <c r="T11" s="11">
        <f>SUM(T10)</f>
        <v>0</v>
      </c>
    </row>
    <row r="12" spans="1:28" ht="15.75" x14ac:dyDescent="0.25">
      <c r="C12" s="47" t="s">
        <v>35</v>
      </c>
      <c r="D12" s="39"/>
      <c r="E12" s="52"/>
      <c r="F12" s="52"/>
      <c r="G12" s="52"/>
      <c r="H12" s="52"/>
      <c r="I12" s="52"/>
      <c r="J12" s="52"/>
      <c r="K12" s="57"/>
      <c r="L12" s="52"/>
      <c r="M12" s="52"/>
      <c r="N12" s="52"/>
      <c r="O12" s="53"/>
      <c r="S12" s="27"/>
    </row>
    <row r="13" spans="1:28" ht="29.25" customHeight="1" x14ac:dyDescent="0.25">
      <c r="A13" s="24">
        <v>23</v>
      </c>
      <c r="B13" s="13">
        <v>2</v>
      </c>
      <c r="C13" s="39" t="s">
        <v>36</v>
      </c>
      <c r="D13" s="39" t="s">
        <v>37</v>
      </c>
      <c r="E13" s="54">
        <v>5053.32</v>
      </c>
      <c r="F13" s="55">
        <v>0</v>
      </c>
      <c r="G13" s="55">
        <v>200</v>
      </c>
      <c r="H13" s="55">
        <f>(E13/15)*13/2</f>
        <v>2189.7719999999999</v>
      </c>
      <c r="I13" s="55"/>
      <c r="J13" s="52">
        <f>(E13-(LOOKUP(E13,ISR!$A$6:$B$17,ISR!$A$6:$A$17)))*(LOOKUP(E13,ISR!$A$6:$B$17,ISR!$D$6:$D$17))+(LOOKUP(E13,ISR!$A$6:$B$17,ISR!$C$6:$C$17))</f>
        <v>393.32084799999996</v>
      </c>
      <c r="K13" s="54">
        <v>0</v>
      </c>
      <c r="L13" s="55">
        <v>0</v>
      </c>
      <c r="M13" s="55">
        <v>28.9</v>
      </c>
      <c r="N13" s="55">
        <v>71.849999999999994</v>
      </c>
      <c r="O13" s="54">
        <f>E13+F13+G13+H13+I13-J13-K13-L13-M13-N13</f>
        <v>6949.0211519999993</v>
      </c>
      <c r="P13" s="234" t="s">
        <v>34</v>
      </c>
      <c r="Q13" s="234"/>
      <c r="R13" s="234"/>
      <c r="S13" s="27"/>
      <c r="Y13">
        <f>+W13-X13</f>
        <v>0</v>
      </c>
      <c r="Z13">
        <f>+W13/2</f>
        <v>0</v>
      </c>
      <c r="AA13">
        <f>+X13/2</f>
        <v>0</v>
      </c>
      <c r="AB13">
        <f>+Z13-AA13</f>
        <v>0</v>
      </c>
    </row>
    <row r="14" spans="1:28" ht="46.5" customHeight="1" x14ac:dyDescent="0.25">
      <c r="A14" s="24">
        <v>3</v>
      </c>
      <c r="B14" s="13">
        <v>3</v>
      </c>
      <c r="C14" s="56" t="s">
        <v>60</v>
      </c>
      <c r="D14" s="39" t="s">
        <v>37</v>
      </c>
      <c r="E14" s="57">
        <v>4629.96</v>
      </c>
      <c r="F14" s="52">
        <v>0</v>
      </c>
      <c r="G14" s="52">
        <v>200</v>
      </c>
      <c r="H14" s="52">
        <f>(E14/15)*13/2</f>
        <v>2006.3159999999998</v>
      </c>
      <c r="I14" s="52">
        <v>0</v>
      </c>
      <c r="J14" s="52">
        <f>(E14-(LOOKUP(E14,ISR!$A$6:$B$17,ISR!$A$6:$A$17)))*(LOOKUP(E14,ISR!$A$6:$B$17,ISR!$D$6:$D$17))+(LOOKUP(E14,ISR!$A$6:$B$17,ISR!$C$6:$C$17))</f>
        <v>347.25927999999999</v>
      </c>
      <c r="K14" s="57">
        <v>0</v>
      </c>
      <c r="L14" s="52">
        <v>0</v>
      </c>
      <c r="M14" s="52">
        <v>28.9</v>
      </c>
      <c r="N14" s="52">
        <v>71.849999999999994</v>
      </c>
      <c r="O14" s="57">
        <f>E14+F14+G14+H14+I14-J14-K14-L14-M14-N14</f>
        <v>6388.2667199999996</v>
      </c>
      <c r="P14" s="234" t="s">
        <v>34</v>
      </c>
      <c r="Q14" s="234"/>
      <c r="R14" s="234"/>
      <c r="S14" s="27"/>
    </row>
    <row r="15" spans="1:28" ht="45" customHeight="1" thickBot="1" x14ac:dyDescent="0.3">
      <c r="A15" s="24" t="s">
        <v>162</v>
      </c>
      <c r="B15" s="13">
        <v>4</v>
      </c>
      <c r="C15" s="39" t="s">
        <v>38</v>
      </c>
      <c r="D15" s="39" t="s">
        <v>37</v>
      </c>
      <c r="E15" s="48">
        <v>4629.96</v>
      </c>
      <c r="F15" s="49">
        <v>0</v>
      </c>
      <c r="G15" s="49">
        <v>200</v>
      </c>
      <c r="H15" s="49">
        <f>(E15/15)*14/2</f>
        <v>2160.6480000000001</v>
      </c>
      <c r="I15" s="49">
        <v>0</v>
      </c>
      <c r="J15" s="49">
        <f>(E15-(LOOKUP(E15,ISR!$A$6:$B$17,ISR!$A$6:$A$17)))*(LOOKUP(E15,ISR!$A$6:$B$17,ISR!$D$6:$D$17))+(LOOKUP(E15,ISR!$A$6:$B$17,ISR!$C$6:$C$17))</f>
        <v>347.25927999999999</v>
      </c>
      <c r="K15" s="48">
        <v>0</v>
      </c>
      <c r="L15" s="49">
        <v>0</v>
      </c>
      <c r="M15" s="49">
        <v>28.9</v>
      </c>
      <c r="N15" s="49">
        <v>71.849999999999994</v>
      </c>
      <c r="O15" s="50">
        <f>E15+F15+G15+H15+I15-J15-K15-L15-M15-N15</f>
        <v>6542.59872</v>
      </c>
      <c r="P15" s="234" t="s">
        <v>34</v>
      </c>
      <c r="Q15" s="234"/>
      <c r="R15" s="234"/>
      <c r="S15" s="27"/>
    </row>
    <row r="16" spans="1:28" ht="24.75" customHeight="1" x14ac:dyDescent="0.25">
      <c r="C16" s="39"/>
      <c r="D16" s="39"/>
      <c r="E16" s="51">
        <f>SUM(E13:E15)</f>
        <v>14313.239999999998</v>
      </c>
      <c r="F16" s="51">
        <f t="shared" ref="F16:N16" si="1">SUM(F13:F15)</f>
        <v>0</v>
      </c>
      <c r="G16" s="51">
        <f>SUM(G13:G15)</f>
        <v>600</v>
      </c>
      <c r="H16" s="51">
        <f>SUM(H13:H15)</f>
        <v>6356.7359999999999</v>
      </c>
      <c r="I16" s="51">
        <f t="shared" si="1"/>
        <v>0</v>
      </c>
      <c r="J16" s="11">
        <f>SUM(J13:J15)</f>
        <v>1087.8394079999998</v>
      </c>
      <c r="K16" s="60">
        <f t="shared" si="1"/>
        <v>0</v>
      </c>
      <c r="L16" s="51">
        <f t="shared" si="1"/>
        <v>0</v>
      </c>
      <c r="M16" s="51">
        <f t="shared" si="1"/>
        <v>86.699999999999989</v>
      </c>
      <c r="N16" s="51">
        <f t="shared" si="1"/>
        <v>215.54999999999998</v>
      </c>
      <c r="O16" s="51">
        <f>SUM(O13:O15)</f>
        <v>19879.886591999999</v>
      </c>
      <c r="S16" s="27"/>
    </row>
    <row r="17" spans="1:20" ht="15.75" x14ac:dyDescent="0.25">
      <c r="C17" s="47" t="s">
        <v>39</v>
      </c>
      <c r="D17" s="39"/>
      <c r="E17" s="55"/>
      <c r="F17" s="55"/>
      <c r="G17" s="55"/>
      <c r="H17" s="55"/>
      <c r="I17" s="55"/>
      <c r="J17" s="4"/>
      <c r="K17" s="54"/>
      <c r="L17" s="55"/>
      <c r="M17" s="55"/>
      <c r="N17" s="55"/>
      <c r="O17" s="55"/>
      <c r="S17" s="27"/>
    </row>
    <row r="18" spans="1:20" ht="30.75" customHeight="1" x14ac:dyDescent="0.25">
      <c r="A18" s="24" t="s">
        <v>162</v>
      </c>
      <c r="B18" s="13">
        <v>5</v>
      </c>
      <c r="C18" s="39" t="s">
        <v>40</v>
      </c>
      <c r="D18" s="39" t="s">
        <v>28</v>
      </c>
      <c r="E18" s="54">
        <v>3745.44</v>
      </c>
      <c r="F18" s="55">
        <v>0</v>
      </c>
      <c r="G18" s="55">
        <v>200</v>
      </c>
      <c r="H18" s="52">
        <f>(E18/15)*12/2</f>
        <v>1498.1759999999999</v>
      </c>
      <c r="I18" s="55"/>
      <c r="J18" s="55">
        <f>(E18-(LOOKUP(E18,ISR!$A$6:$B$17,ISR!$A$6:$A$17)))*(LOOKUP(E18,ISR!$A$6:$B$17,ISR!$D$6:$D$17))+(LOOKUP(E18,ISR!$A$6:$B$17,ISR!$C$6:$C$17))</f>
        <v>251.02350399999997</v>
      </c>
      <c r="K18" s="54">
        <v>0</v>
      </c>
      <c r="L18" s="55"/>
      <c r="M18" s="55">
        <v>26.37</v>
      </c>
      <c r="N18" s="55">
        <v>65.55</v>
      </c>
      <c r="O18" s="54">
        <f>E18+F18+G18+H18+I18-J18-K18-L18-M18-N18</f>
        <v>5100.6724960000001</v>
      </c>
      <c r="P18" s="234" t="s">
        <v>34</v>
      </c>
      <c r="Q18" s="234"/>
      <c r="R18" s="234"/>
      <c r="S18" s="27"/>
    </row>
    <row r="19" spans="1:20" ht="37.5" customHeight="1" thickBot="1" x14ac:dyDescent="0.3">
      <c r="A19" s="24" t="s">
        <v>162</v>
      </c>
      <c r="B19" s="13">
        <v>6</v>
      </c>
      <c r="C19" s="39" t="s">
        <v>41</v>
      </c>
      <c r="D19" s="39" t="s">
        <v>42</v>
      </c>
      <c r="E19" s="48">
        <v>4629.96</v>
      </c>
      <c r="F19" s="49">
        <v>0</v>
      </c>
      <c r="G19" s="49">
        <v>200</v>
      </c>
      <c r="H19" s="49">
        <f>(E19/15)*12/2</f>
        <v>1851.9839999999999</v>
      </c>
      <c r="I19" s="49">
        <v>0</v>
      </c>
      <c r="J19" s="49">
        <f>(E19-(LOOKUP(E19,ISR!$A$6:$B$17,ISR!$A$6:$A$17)))*(LOOKUP(E19,ISR!$A$6:$B$17,ISR!$D$6:$D$17))+(LOOKUP(E19,ISR!$A$6:$B$17,ISR!$C$6:$C$17))</f>
        <v>347.25927999999999</v>
      </c>
      <c r="K19" s="48">
        <v>0</v>
      </c>
      <c r="L19" s="49">
        <v>0</v>
      </c>
      <c r="M19" s="49">
        <v>28.9</v>
      </c>
      <c r="N19" s="49">
        <v>71.849999999999994</v>
      </c>
      <c r="O19" s="48">
        <f>E19+F19+G19+H19+I19-J19-K19-L19-M19-N19</f>
        <v>6233.9347199999993</v>
      </c>
      <c r="P19" s="234" t="s">
        <v>34</v>
      </c>
      <c r="Q19" s="234"/>
      <c r="R19" s="234"/>
      <c r="S19" s="27"/>
    </row>
    <row r="20" spans="1:20" ht="24.75" customHeight="1" x14ac:dyDescent="0.25">
      <c r="C20" s="39"/>
      <c r="D20" s="39"/>
      <c r="E20" s="58">
        <f>SUM(E18:E19)</f>
        <v>8375.4</v>
      </c>
      <c r="F20" s="58">
        <f t="shared" ref="F20:N20" si="2">SUM(F18:F19)</f>
        <v>0</v>
      </c>
      <c r="G20" s="58">
        <f t="shared" si="2"/>
        <v>400</v>
      </c>
      <c r="H20" s="58">
        <f t="shared" si="2"/>
        <v>3350.16</v>
      </c>
      <c r="I20" s="58">
        <f t="shared" si="2"/>
        <v>0</v>
      </c>
      <c r="J20" s="58">
        <f t="shared" si="2"/>
        <v>598.28278399999999</v>
      </c>
      <c r="K20" s="147">
        <f t="shared" si="2"/>
        <v>0</v>
      </c>
      <c r="L20" s="58">
        <f t="shared" si="2"/>
        <v>0</v>
      </c>
      <c r="M20" s="58">
        <f t="shared" si="2"/>
        <v>55.269999999999996</v>
      </c>
      <c r="N20" s="58">
        <f t="shared" si="2"/>
        <v>137.39999999999998</v>
      </c>
      <c r="O20" s="58">
        <f>SUM(O18:O19)</f>
        <v>11334.607216</v>
      </c>
      <c r="S20" s="27"/>
    </row>
    <row r="21" spans="1:20" ht="15.75" x14ac:dyDescent="0.25">
      <c r="C21" s="47" t="s">
        <v>43</v>
      </c>
      <c r="D21" s="39"/>
      <c r="E21" s="55"/>
      <c r="F21" s="55"/>
      <c r="G21" s="55"/>
      <c r="H21" s="55"/>
      <c r="I21" s="55"/>
      <c r="J21" s="55"/>
      <c r="K21" s="54"/>
      <c r="L21" s="55"/>
      <c r="M21" s="55"/>
      <c r="N21" s="55"/>
      <c r="O21" s="55"/>
      <c r="S21" s="27"/>
    </row>
    <row r="22" spans="1:20" ht="37.5" customHeight="1" x14ac:dyDescent="0.25">
      <c r="A22" s="24" t="s">
        <v>162</v>
      </c>
      <c r="B22" s="13">
        <v>7</v>
      </c>
      <c r="C22" s="39" t="s">
        <v>64</v>
      </c>
      <c r="D22" s="39" t="s">
        <v>65</v>
      </c>
      <c r="E22" s="57">
        <v>5051.7</v>
      </c>
      <c r="F22" s="52">
        <v>0</v>
      </c>
      <c r="G22" s="52">
        <v>200</v>
      </c>
      <c r="H22" s="52">
        <f>(E22/15)*9/2</f>
        <v>1515.5099999999998</v>
      </c>
      <c r="I22" s="52">
        <v>0</v>
      </c>
      <c r="J22" s="52">
        <f>(E22-(LOOKUP(E22,ISR!$A$6:$B$17,ISR!$A$6:$A$17)))*(LOOKUP(E22,ISR!$A$6:$B$17,ISR!$D$6:$D$17))+(LOOKUP(E22,ISR!$A$6:$B$17,ISR!$C$6:$C$17))</f>
        <v>393.14459199999993</v>
      </c>
      <c r="K22" s="57">
        <v>0</v>
      </c>
      <c r="L22" s="52">
        <v>0</v>
      </c>
      <c r="M22" s="52">
        <v>36.619999999999997</v>
      </c>
      <c r="N22" s="52">
        <v>93.75</v>
      </c>
      <c r="O22" s="57">
        <f t="shared" ref="O22:O27" si="3">E22+F22+G22+H22+I22-J22-K22-L22-M22-N22</f>
        <v>6243.6954079999996</v>
      </c>
      <c r="P22" s="234" t="s">
        <v>34</v>
      </c>
      <c r="Q22" s="234"/>
      <c r="R22" s="234"/>
      <c r="S22" s="27"/>
    </row>
    <row r="23" spans="1:20" ht="39.75" customHeight="1" x14ac:dyDescent="0.25">
      <c r="A23" s="24" t="s">
        <v>162</v>
      </c>
      <c r="B23" s="13">
        <v>8</v>
      </c>
      <c r="C23" s="39" t="s">
        <v>69</v>
      </c>
      <c r="D23" s="39" t="s">
        <v>119</v>
      </c>
      <c r="E23" s="54">
        <v>3292.38</v>
      </c>
      <c r="F23" s="55">
        <v>0</v>
      </c>
      <c r="G23" s="55">
        <v>200</v>
      </c>
      <c r="H23" s="52">
        <f>(E23/15)*12/2</f>
        <v>1316.9520000000002</v>
      </c>
      <c r="I23" s="55">
        <v>0</v>
      </c>
      <c r="J23" s="55">
        <f>(E23-(LOOKUP(E23,ISR!$A$6:$B$17,ISR!$A$6:$A$17)))*(LOOKUP(E23,ISR!$A$6:$B$17,ISR!$D$6:$D$17))+(LOOKUP(E23,ISR!$A$6:$B$17,ISR!$C$6:$C$17))</f>
        <v>201.73057599999999</v>
      </c>
      <c r="K23" s="54">
        <v>0</v>
      </c>
      <c r="L23" s="55">
        <v>0</v>
      </c>
      <c r="M23" s="55">
        <v>0</v>
      </c>
      <c r="N23" s="55">
        <v>61.65</v>
      </c>
      <c r="O23" s="54">
        <f t="shared" si="3"/>
        <v>4545.9514240000008</v>
      </c>
      <c r="P23" s="234" t="s">
        <v>34</v>
      </c>
      <c r="Q23" s="234"/>
      <c r="R23" s="234"/>
      <c r="S23" s="27"/>
    </row>
    <row r="24" spans="1:20" ht="47.25" customHeight="1" x14ac:dyDescent="0.25">
      <c r="A24" s="24" t="s">
        <v>162</v>
      </c>
      <c r="B24" s="13">
        <v>9</v>
      </c>
      <c r="C24" s="39" t="s">
        <v>45</v>
      </c>
      <c r="D24" s="39" t="s">
        <v>44</v>
      </c>
      <c r="E24" s="54">
        <v>3211.38</v>
      </c>
      <c r="F24" s="55">
        <v>0</v>
      </c>
      <c r="G24" s="55">
        <v>200</v>
      </c>
      <c r="H24" s="57">
        <f>(E24/15)*9/2</f>
        <v>963.4140000000001</v>
      </c>
      <c r="I24" s="55">
        <v>0</v>
      </c>
      <c r="J24" s="55">
        <f>(E24-(LOOKUP(E24,ISR!$A$6:$B$17,ISR!$A$6:$A$17)))*(LOOKUP(E24,ISR!$A$6:$B$17,ISR!$D$6:$D$17))+(LOOKUP(E24,ISR!$A$6:$B$17,ISR!$C$6:$C$17))</f>
        <v>192.91777599999998</v>
      </c>
      <c r="K24" s="54">
        <v>0</v>
      </c>
      <c r="L24" s="55">
        <v>0</v>
      </c>
      <c r="M24" s="55">
        <v>0</v>
      </c>
      <c r="N24" s="55">
        <v>57.75</v>
      </c>
      <c r="O24" s="54">
        <f t="shared" si="3"/>
        <v>4124.1262239999996</v>
      </c>
      <c r="P24" s="234" t="s">
        <v>34</v>
      </c>
      <c r="Q24" s="234"/>
      <c r="R24" s="234"/>
    </row>
    <row r="25" spans="1:20" ht="40.5" customHeight="1" x14ac:dyDescent="0.25">
      <c r="A25" s="24" t="s">
        <v>283</v>
      </c>
      <c r="B25" s="13">
        <v>10</v>
      </c>
      <c r="C25" s="39" t="s">
        <v>289</v>
      </c>
      <c r="D25" s="39" t="s">
        <v>290</v>
      </c>
      <c r="E25" s="54">
        <v>3955.5</v>
      </c>
      <c r="F25" s="55"/>
      <c r="G25" s="55">
        <v>200</v>
      </c>
      <c r="H25" s="52">
        <f>(E25/15)*5/2</f>
        <v>659.25</v>
      </c>
      <c r="I25" s="55">
        <v>0</v>
      </c>
      <c r="J25" s="55">
        <f>(E25-(LOOKUP(E25,ISR!$A$6:$B$17,ISR!$A$6:$A$17)))*(LOOKUP(E25,ISR!$A$6:$B$17,ISR!$D$6:$D$17))+(LOOKUP(E25,ISR!$A$6:$B$17,ISR!$C$6:$C$17))</f>
        <v>273.87803199999996</v>
      </c>
      <c r="K25" s="54">
        <v>0</v>
      </c>
      <c r="L25" s="55">
        <v>0</v>
      </c>
      <c r="M25" s="52">
        <v>28.9</v>
      </c>
      <c r="N25" s="55"/>
      <c r="O25" s="54">
        <f t="shared" si="3"/>
        <v>4511.9719680000007</v>
      </c>
      <c r="P25" s="74"/>
      <c r="Q25" s="74"/>
      <c r="R25" s="74"/>
    </row>
    <row r="26" spans="1:20" ht="44.25" customHeight="1" x14ac:dyDescent="0.25">
      <c r="A26" s="24" t="s">
        <v>162</v>
      </c>
      <c r="B26" s="13">
        <v>11</v>
      </c>
      <c r="C26" s="39" t="s">
        <v>51</v>
      </c>
      <c r="D26" s="39" t="s">
        <v>119</v>
      </c>
      <c r="E26" s="57">
        <v>3894.48</v>
      </c>
      <c r="F26" s="52">
        <v>0</v>
      </c>
      <c r="G26" s="52">
        <v>200</v>
      </c>
      <c r="H26" s="57">
        <f>(E26/15)*10/2</f>
        <v>1298.1600000000001</v>
      </c>
      <c r="I26" s="52">
        <v>0</v>
      </c>
      <c r="J26" s="52">
        <f>(E26-(LOOKUP(E26,ISR!$A$6:$B$17,ISR!$A$6:$A$17)))*(LOOKUP(E26,ISR!$A$6:$B$17,ISR!$D$6:$D$17))+(LOOKUP(E26,ISR!$A$6:$B$17,ISR!$C$6:$C$17))</f>
        <v>267.23905600000001</v>
      </c>
      <c r="K26" s="57">
        <v>0</v>
      </c>
      <c r="L26" s="52">
        <v>0</v>
      </c>
      <c r="M26" s="52">
        <v>0</v>
      </c>
      <c r="N26" s="52">
        <v>70.05</v>
      </c>
      <c r="O26" s="57">
        <f t="shared" si="3"/>
        <v>5055.3509439999998</v>
      </c>
      <c r="P26" s="234" t="s">
        <v>34</v>
      </c>
      <c r="Q26" s="234"/>
      <c r="R26" s="234"/>
      <c r="S26" s="27"/>
    </row>
    <row r="27" spans="1:20" ht="44.25" customHeight="1" thickBot="1" x14ac:dyDescent="0.3">
      <c r="A27" s="24" t="s">
        <v>162</v>
      </c>
      <c r="B27" s="13">
        <v>12</v>
      </c>
      <c r="C27" s="39" t="s">
        <v>52</v>
      </c>
      <c r="D27" s="39" t="s">
        <v>119</v>
      </c>
      <c r="E27" s="48">
        <v>3271.86</v>
      </c>
      <c r="F27" s="49">
        <v>0</v>
      </c>
      <c r="G27" s="49">
        <v>200</v>
      </c>
      <c r="H27" s="49">
        <f>(E27/15)*12/2</f>
        <v>1308.7439999999999</v>
      </c>
      <c r="I27" s="49">
        <v>0</v>
      </c>
      <c r="J27" s="49">
        <f>(E27-(LOOKUP(E27,ISR!$A$6:$B$17,ISR!$A$6:$A$17)))*(LOOKUP(E27,ISR!$A$6:$B$17,ISR!$D$6:$D$17))+(LOOKUP(E27,ISR!$A$6:$B$17,ISR!$C$6:$C$17))</f>
        <v>199.49799999999999</v>
      </c>
      <c r="K27" s="48"/>
      <c r="L27" s="49">
        <v>0</v>
      </c>
      <c r="M27" s="49">
        <v>23.72</v>
      </c>
      <c r="N27" s="49">
        <v>58.8</v>
      </c>
      <c r="O27" s="48">
        <f t="shared" si="3"/>
        <v>4498.5860000000002</v>
      </c>
      <c r="P27" s="234" t="s">
        <v>34</v>
      </c>
      <c r="Q27" s="234"/>
      <c r="R27" s="234"/>
      <c r="S27" s="27">
        <v>1000</v>
      </c>
      <c r="T27" s="17">
        <f>+S27-500</f>
        <v>500</v>
      </c>
    </row>
    <row r="28" spans="1:20" ht="24.75" customHeight="1" x14ac:dyDescent="0.25">
      <c r="C28" s="39"/>
      <c r="D28" s="39"/>
      <c r="E28" s="51">
        <f>SUM(E22:E27)</f>
        <v>22677.3</v>
      </c>
      <c r="F28" s="51">
        <f t="shared" ref="F28:N28" si="4">SUM(F22:F27)</f>
        <v>0</v>
      </c>
      <c r="G28" s="51">
        <f t="shared" si="4"/>
        <v>1200</v>
      </c>
      <c r="H28" s="51">
        <f>SUM(H22:H27)</f>
        <v>7062.03</v>
      </c>
      <c r="I28" s="51">
        <f t="shared" si="4"/>
        <v>0</v>
      </c>
      <c r="J28" s="51">
        <f>SUM(J22:J27)</f>
        <v>1528.4080319999998</v>
      </c>
      <c r="K28" s="60">
        <f>SUM(K22:K27)</f>
        <v>0</v>
      </c>
      <c r="L28" s="51">
        <f t="shared" si="4"/>
        <v>0</v>
      </c>
      <c r="M28" s="51">
        <f t="shared" si="4"/>
        <v>89.24</v>
      </c>
      <c r="N28" s="51">
        <f t="shared" si="4"/>
        <v>342</v>
      </c>
      <c r="O28" s="51">
        <f>SUM(O22:O27)</f>
        <v>28979.681968000001</v>
      </c>
      <c r="S28" s="27"/>
    </row>
    <row r="29" spans="1:20" ht="15.75" x14ac:dyDescent="0.25">
      <c r="C29" s="47" t="s">
        <v>311</v>
      </c>
      <c r="D29" s="39"/>
      <c r="E29" s="52"/>
      <c r="F29" s="52"/>
      <c r="G29" s="52"/>
      <c r="H29" s="52"/>
      <c r="I29" s="52"/>
      <c r="J29" s="52"/>
      <c r="K29" s="57"/>
      <c r="L29" s="52"/>
      <c r="M29" s="52"/>
      <c r="N29" s="52"/>
      <c r="O29" s="52"/>
      <c r="S29" s="27"/>
    </row>
    <row r="30" spans="1:20" ht="32.25" customHeight="1" thickBot="1" x14ac:dyDescent="0.3">
      <c r="A30" s="24" t="s">
        <v>162</v>
      </c>
      <c r="B30" s="13">
        <v>13</v>
      </c>
      <c r="C30" s="39" t="s">
        <v>48</v>
      </c>
      <c r="D30" s="39" t="s">
        <v>312</v>
      </c>
      <c r="E30" s="48">
        <v>4407.4799999999996</v>
      </c>
      <c r="F30" s="49">
        <v>0</v>
      </c>
      <c r="G30" s="49">
        <v>200</v>
      </c>
      <c r="H30" s="49">
        <f>(E30/15)*10/2</f>
        <v>1469.1599999999999</v>
      </c>
      <c r="I30" s="49">
        <v>0</v>
      </c>
      <c r="J30" s="49">
        <f>(E30-(LOOKUP(E30,ISR!$A$6:$B$17,ISR!$A$6:$A$17)))*(LOOKUP(E30,ISR!$A$6:$B$17,ISR!$D$6:$D$17))+(LOOKUP(E30,ISR!$A$6:$B$17,ISR!$C$6:$C$17))</f>
        <v>323.05345599999993</v>
      </c>
      <c r="K30" s="48">
        <v>0</v>
      </c>
      <c r="L30" s="49">
        <v>0</v>
      </c>
      <c r="M30" s="49">
        <v>28.9</v>
      </c>
      <c r="N30" s="49">
        <v>71.849999999999994</v>
      </c>
      <c r="O30" s="48">
        <f>E30+F30+G30+H30+I30-J30-K30-L30-M30-N30</f>
        <v>5652.8365439999998</v>
      </c>
      <c r="P30" s="234" t="s">
        <v>34</v>
      </c>
      <c r="Q30" s="234"/>
      <c r="R30" s="234"/>
      <c r="S30" s="27"/>
    </row>
    <row r="31" spans="1:20" ht="25.5" customHeight="1" x14ac:dyDescent="0.25">
      <c r="C31" s="39"/>
      <c r="D31" s="39"/>
      <c r="E31" s="60">
        <f>SUM(E30)</f>
        <v>4407.4799999999996</v>
      </c>
      <c r="F31" s="51">
        <f>SUM(F30)</f>
        <v>0</v>
      </c>
      <c r="G31" s="51">
        <f>SUM(G30)</f>
        <v>200</v>
      </c>
      <c r="H31" s="58">
        <f t="shared" ref="H31:N31" si="5">SUM(H30)</f>
        <v>1469.1599999999999</v>
      </c>
      <c r="I31" s="55">
        <f t="shared" si="5"/>
        <v>0</v>
      </c>
      <c r="J31" s="51">
        <f t="shared" si="5"/>
        <v>323.05345599999993</v>
      </c>
      <c r="K31" s="54">
        <f t="shared" si="5"/>
        <v>0</v>
      </c>
      <c r="L31" s="55">
        <f t="shared" si="5"/>
        <v>0</v>
      </c>
      <c r="M31" s="51">
        <f t="shared" si="5"/>
        <v>28.9</v>
      </c>
      <c r="N31" s="51">
        <f t="shared" si="5"/>
        <v>71.849999999999994</v>
      </c>
      <c r="O31" s="60">
        <f>SUM(O30)</f>
        <v>5652.8365439999998</v>
      </c>
      <c r="P31" s="24"/>
      <c r="Q31" s="24"/>
      <c r="R31" s="24"/>
      <c r="S31" s="27"/>
    </row>
    <row r="32" spans="1:20" ht="21" customHeight="1" x14ac:dyDescent="0.25">
      <c r="C32" s="47" t="s">
        <v>47</v>
      </c>
      <c r="D32" s="39"/>
      <c r="E32" s="54"/>
      <c r="F32" s="55"/>
      <c r="G32" s="55"/>
      <c r="H32" s="52"/>
      <c r="I32" s="55"/>
      <c r="J32" s="55"/>
      <c r="K32" s="54"/>
      <c r="L32" s="55"/>
      <c r="M32" s="55"/>
      <c r="N32" s="55"/>
      <c r="O32" s="54"/>
      <c r="P32" s="24"/>
      <c r="Q32" s="24"/>
      <c r="R32" s="24"/>
      <c r="S32" s="27"/>
    </row>
    <row r="33" spans="1:20" ht="38.25" customHeight="1" x14ac:dyDescent="0.25">
      <c r="A33" s="24" t="s">
        <v>162</v>
      </c>
      <c r="B33" s="13">
        <v>14</v>
      </c>
      <c r="C33" s="39" t="s">
        <v>50</v>
      </c>
      <c r="D33" s="39" t="s">
        <v>49</v>
      </c>
      <c r="E33" s="54">
        <v>4052.16</v>
      </c>
      <c r="F33" s="55">
        <v>0</v>
      </c>
      <c r="G33" s="55">
        <v>200</v>
      </c>
      <c r="H33" s="52">
        <f>(E33/15)*10/2</f>
        <v>1350.72</v>
      </c>
      <c r="I33" s="55">
        <v>0</v>
      </c>
      <c r="J33" s="55">
        <f>(E33-(LOOKUP(E33,ISR!$A$6:$B$17,ISR!$A$6:$A$17)))*(LOOKUP(E33,ISR!$A$6:$B$17,ISR!$D$6:$D$17))+(LOOKUP(E33,ISR!$A$6:$B$17,ISR!$C$6:$C$17))</f>
        <v>284.39463999999998</v>
      </c>
      <c r="K33" s="54">
        <v>0</v>
      </c>
      <c r="L33" s="55">
        <v>0</v>
      </c>
      <c r="M33" s="55">
        <v>29.38</v>
      </c>
      <c r="N33" s="55">
        <v>72.900000000000006</v>
      </c>
      <c r="O33" s="54">
        <f>E33+F33+G33+H33+I33-J33-K33-L33-M33-N33</f>
        <v>5216.2053600000008</v>
      </c>
      <c r="P33" s="234" t="s">
        <v>34</v>
      </c>
      <c r="Q33" s="234"/>
      <c r="R33" s="234"/>
      <c r="S33" s="27"/>
    </row>
    <row r="34" spans="1:20" ht="47.25" customHeight="1" x14ac:dyDescent="0.25">
      <c r="A34" s="24" t="s">
        <v>162</v>
      </c>
      <c r="B34" s="13">
        <v>15</v>
      </c>
      <c r="C34" s="39" t="s">
        <v>54</v>
      </c>
      <c r="D34" s="39" t="s">
        <v>53</v>
      </c>
      <c r="E34" s="57">
        <v>3988.98</v>
      </c>
      <c r="F34" s="52"/>
      <c r="G34" s="52">
        <v>200</v>
      </c>
      <c r="H34" s="52">
        <f>(E34/15)*13/2</f>
        <v>1728.558</v>
      </c>
      <c r="I34" s="52">
        <v>0</v>
      </c>
      <c r="J34" s="52">
        <f>(E34-(LOOKUP(E34,ISR!$A$6:$B$17,ISR!$A$6:$A$17)))*(LOOKUP(E34,ISR!$A$6:$B$17,ISR!$D$6:$D$17))+(LOOKUP(E34,ISR!$A$6:$B$17,ISR!$C$6:$C$17))</f>
        <v>277.52065599999997</v>
      </c>
      <c r="K34" s="57"/>
      <c r="L34" s="52">
        <v>0</v>
      </c>
      <c r="M34" s="52">
        <v>28.92</v>
      </c>
      <c r="N34" s="52">
        <v>71.849999999999994</v>
      </c>
      <c r="O34" s="57">
        <f>E34+F34+G34+H34+I34-J34-K34-L34-M34-N34</f>
        <v>5539.2473439999994</v>
      </c>
      <c r="P34" s="234" t="s">
        <v>34</v>
      </c>
      <c r="Q34" s="234"/>
      <c r="R34" s="234"/>
      <c r="S34" s="27" t="s">
        <v>502</v>
      </c>
      <c r="T34" s="12"/>
    </row>
    <row r="35" spans="1:20" ht="44.25" customHeight="1" x14ac:dyDescent="0.25">
      <c r="A35" s="24" t="s">
        <v>162</v>
      </c>
      <c r="B35" s="13">
        <v>16</v>
      </c>
      <c r="C35" s="39" t="s">
        <v>56</v>
      </c>
      <c r="D35" s="39" t="s">
        <v>55</v>
      </c>
      <c r="E35" s="54">
        <v>3271.86</v>
      </c>
      <c r="F35" s="55">
        <v>0</v>
      </c>
      <c r="G35" s="55">
        <v>200</v>
      </c>
      <c r="H35" s="52">
        <f>(E35/15)*8/2</f>
        <v>872.49599999999998</v>
      </c>
      <c r="I35" s="55">
        <v>0</v>
      </c>
      <c r="J35" s="55">
        <f>(E35-(LOOKUP(E35,ISR!$A$6:$B$17,ISR!$A$6:$A$17)))*(LOOKUP(E35,ISR!$A$6:$B$17,ISR!$D$6:$D$17))+(LOOKUP(E35,ISR!$A$6:$B$17,ISR!$C$6:$C$17))</f>
        <v>199.49799999999999</v>
      </c>
      <c r="K35" s="54"/>
      <c r="L35" s="55">
        <v>0</v>
      </c>
      <c r="M35" s="55">
        <v>23.72</v>
      </c>
      <c r="N35" s="55">
        <v>58.8</v>
      </c>
      <c r="O35" s="54">
        <f>E35+F35+G35+H35+I35-J35-K35-L35-M35-N35</f>
        <v>4062.3379999999997</v>
      </c>
      <c r="P35" s="237" t="s">
        <v>34</v>
      </c>
      <c r="Q35" s="237"/>
      <c r="R35" s="237"/>
      <c r="S35" s="27" t="s">
        <v>380</v>
      </c>
      <c r="T35" s="12"/>
    </row>
    <row r="36" spans="1:20" ht="44.25" customHeight="1" x14ac:dyDescent="0.25">
      <c r="A36" s="24" t="s">
        <v>162</v>
      </c>
      <c r="B36" s="13">
        <v>17</v>
      </c>
      <c r="C36" s="39" t="s">
        <v>155</v>
      </c>
      <c r="D36" s="39" t="s">
        <v>49</v>
      </c>
      <c r="E36" s="54">
        <v>3869.64</v>
      </c>
      <c r="F36" s="54"/>
      <c r="G36" s="55">
        <v>200</v>
      </c>
      <c r="H36" s="52">
        <f>(E36/15)*5/2</f>
        <v>644.94000000000005</v>
      </c>
      <c r="I36" s="52">
        <f>500+(E36/15*4)</f>
        <v>1531.904</v>
      </c>
      <c r="J36" s="52">
        <f>(E36-(LOOKUP(E36,ISR!$A$6:$B$17,ISR!$A$6:$A$17)))*(LOOKUP(E36,ISR!$A$6:$B$17,ISR!$D$6:$D$17))+(LOOKUP(E36,ISR!$A$6:$B$17,ISR!$C$6:$C$17))</f>
        <v>264.53646399999997</v>
      </c>
      <c r="K36" s="54"/>
      <c r="L36" s="55">
        <v>0</v>
      </c>
      <c r="M36" s="55">
        <v>28.9</v>
      </c>
      <c r="N36" s="55"/>
      <c r="O36" s="54">
        <f>E36+F36+G36+H36+I36-J36-K36-L36-M36-N36</f>
        <v>5953.0475360000009</v>
      </c>
      <c r="P36" s="234"/>
      <c r="Q36" s="234"/>
      <c r="R36" s="234"/>
      <c r="S36" s="27"/>
      <c r="T36" s="12"/>
    </row>
    <row r="37" spans="1:20" ht="44.25" customHeight="1" thickBot="1" x14ac:dyDescent="0.3">
      <c r="B37" s="13">
        <v>18</v>
      </c>
      <c r="C37" s="39" t="s">
        <v>58</v>
      </c>
      <c r="D37" s="39" t="s">
        <v>141</v>
      </c>
      <c r="E37" s="48">
        <v>3749.76</v>
      </c>
      <c r="F37" s="49">
        <v>0</v>
      </c>
      <c r="G37" s="49">
        <v>200</v>
      </c>
      <c r="H37" s="49">
        <f>(E37/15)*8/2</f>
        <v>999.93600000000004</v>
      </c>
      <c r="I37" s="49">
        <f>500+(E37/15*6)</f>
        <v>1999.904</v>
      </c>
      <c r="J37" s="49">
        <f>(E37-(LOOKUP(E37,ISR!$A$6:$B$17,ISR!$A$6:$A$17)))*(LOOKUP(E37,ISR!$A$6:$B$17,ISR!$D$6:$D$17))+(LOOKUP(E37,ISR!$A$6:$B$17,ISR!$C$6:$C$17))</f>
        <v>251.49351999999999</v>
      </c>
      <c r="K37" s="48">
        <v>0</v>
      </c>
      <c r="L37" s="49">
        <v>0</v>
      </c>
      <c r="M37" s="49">
        <v>21.08</v>
      </c>
      <c r="N37" s="49">
        <v>52.35</v>
      </c>
      <c r="O37" s="48">
        <f>E37+F37+G37+H37+I37-J37-K37-L37-M37-N37</f>
        <v>6624.6764800000001</v>
      </c>
      <c r="P37" s="234" t="s">
        <v>34</v>
      </c>
      <c r="Q37" s="234"/>
      <c r="R37" s="234"/>
      <c r="S37" s="27"/>
      <c r="T37" s="12"/>
    </row>
    <row r="38" spans="1:20" ht="36.75" customHeight="1" x14ac:dyDescent="0.25">
      <c r="C38" s="39"/>
      <c r="D38" s="39"/>
      <c r="E38" s="51">
        <f>SUM(E33:E37)</f>
        <v>18932.400000000001</v>
      </c>
      <c r="F38" s="51">
        <f>SUM(F24:F37)</f>
        <v>0</v>
      </c>
      <c r="G38" s="51">
        <f t="shared" ref="G38:O38" si="6">SUM(G33:G37)</f>
        <v>1000</v>
      </c>
      <c r="H38" s="58">
        <f t="shared" si="6"/>
        <v>5596.65</v>
      </c>
      <c r="I38" s="51">
        <f t="shared" si="6"/>
        <v>3531.808</v>
      </c>
      <c r="J38" s="51">
        <f t="shared" si="6"/>
        <v>1277.44328</v>
      </c>
      <c r="K38" s="60">
        <f t="shared" si="6"/>
        <v>0</v>
      </c>
      <c r="L38" s="51">
        <f t="shared" si="6"/>
        <v>0</v>
      </c>
      <c r="M38" s="51">
        <f t="shared" si="6"/>
        <v>132</v>
      </c>
      <c r="N38" s="51">
        <f t="shared" si="6"/>
        <v>255.9</v>
      </c>
      <c r="O38" s="51">
        <f t="shared" si="6"/>
        <v>27395.514719999999</v>
      </c>
      <c r="P38" s="24" t="s">
        <v>34</v>
      </c>
      <c r="Q38" s="24"/>
      <c r="R38" s="24"/>
      <c r="S38" s="27"/>
      <c r="T38" s="12"/>
    </row>
    <row r="39" spans="1:20" ht="33.75" customHeight="1" x14ac:dyDescent="0.3">
      <c r="C39" s="110" t="s">
        <v>0</v>
      </c>
      <c r="D39" s="111"/>
      <c r="E39" s="54"/>
      <c r="F39" s="55"/>
      <c r="G39" s="55"/>
      <c r="H39" s="52"/>
      <c r="I39" s="55"/>
      <c r="J39" s="55"/>
      <c r="K39" s="54"/>
      <c r="L39" s="55"/>
      <c r="M39" s="55"/>
      <c r="N39" s="55"/>
      <c r="O39" s="54"/>
      <c r="P39" s="24"/>
      <c r="Q39" s="24"/>
      <c r="R39" s="24"/>
      <c r="S39" s="27"/>
      <c r="T39" s="12"/>
    </row>
    <row r="40" spans="1:20" ht="28.5" customHeight="1" x14ac:dyDescent="0.3">
      <c r="C40" s="231" t="s">
        <v>512</v>
      </c>
      <c r="D40" s="231"/>
      <c r="E40" s="231"/>
      <c r="F40" s="55"/>
      <c r="G40" s="55"/>
      <c r="H40" s="52"/>
      <c r="I40" s="55"/>
      <c r="J40" s="55"/>
      <c r="K40" s="54"/>
      <c r="L40" s="55"/>
      <c r="M40" s="55"/>
      <c r="N40" s="55"/>
      <c r="O40" s="39" t="s">
        <v>513</v>
      </c>
      <c r="P40" s="24"/>
      <c r="Q40" s="24"/>
      <c r="R40" s="24"/>
      <c r="S40" s="27"/>
      <c r="T40" s="12"/>
    </row>
    <row r="41" spans="1:20" ht="33" customHeight="1" x14ac:dyDescent="0.25">
      <c r="C41" s="46" t="s">
        <v>1</v>
      </c>
      <c r="D41" s="46" t="s">
        <v>2</v>
      </c>
      <c r="E41" s="46" t="s">
        <v>3</v>
      </c>
      <c r="F41" s="46" t="s">
        <v>4</v>
      </c>
      <c r="G41" s="46" t="s">
        <v>8</v>
      </c>
      <c r="H41" s="46" t="s">
        <v>29</v>
      </c>
      <c r="I41" s="46" t="s">
        <v>30</v>
      </c>
      <c r="J41" s="46" t="s">
        <v>5</v>
      </c>
      <c r="K41" s="46" t="s">
        <v>117</v>
      </c>
      <c r="L41" s="46" t="s">
        <v>11</v>
      </c>
      <c r="M41" s="46" t="s">
        <v>31</v>
      </c>
      <c r="N41" s="46" t="s">
        <v>6</v>
      </c>
      <c r="O41" s="46" t="s">
        <v>12</v>
      </c>
      <c r="P41" s="24"/>
      <c r="Q41" s="24"/>
      <c r="R41" s="24"/>
      <c r="S41" s="27"/>
      <c r="T41" s="12"/>
    </row>
    <row r="42" spans="1:20" ht="15.75" x14ac:dyDescent="0.25">
      <c r="C42" s="47" t="s">
        <v>59</v>
      </c>
      <c r="D42" s="39"/>
      <c r="E42" s="57"/>
      <c r="F42" s="52"/>
      <c r="G42" s="52"/>
      <c r="H42" s="52"/>
      <c r="I42" s="52"/>
      <c r="J42" s="52"/>
      <c r="K42" s="57"/>
      <c r="L42" s="52"/>
      <c r="M42" s="52"/>
      <c r="N42" s="52"/>
      <c r="O42" s="52"/>
      <c r="S42" s="27"/>
    </row>
    <row r="43" spans="1:20" ht="45" customHeight="1" x14ac:dyDescent="0.25">
      <c r="A43" s="24">
        <v>71</v>
      </c>
      <c r="B43" s="13">
        <v>19</v>
      </c>
      <c r="C43" s="39" t="s">
        <v>78</v>
      </c>
      <c r="D43" s="39" t="s">
        <v>79</v>
      </c>
      <c r="E43" s="54">
        <v>2703.78</v>
      </c>
      <c r="F43" s="55"/>
      <c r="G43" s="55">
        <v>200</v>
      </c>
      <c r="H43" s="52">
        <f>(E43/15)*12/2</f>
        <v>1081.5120000000002</v>
      </c>
      <c r="I43" s="55">
        <v>0</v>
      </c>
      <c r="J43" s="52">
        <f>(E43-(LOOKUP(E43,ISR!$A$6:$B$17,ISR!$A$6:$A$17)))*(LOOKUP(E43,ISR!$A$6:$B$17,ISR!$D$6:$D$17))+(LOOKUP(E43,ISR!$A$6:$B$17,ISR!$C$6:$C$17))</f>
        <v>156.53288000000001</v>
      </c>
      <c r="K43" s="54">
        <v>0</v>
      </c>
      <c r="L43" s="55">
        <v>0</v>
      </c>
      <c r="M43" s="55">
        <v>19.600000000000001</v>
      </c>
      <c r="N43" s="55">
        <v>48.6</v>
      </c>
      <c r="O43" s="54">
        <f t="shared" ref="O43:O53" si="7">E43+F43+G43+H43+I43-J43-K43-L43-M43-N43</f>
        <v>3760.5591200000003</v>
      </c>
      <c r="P43" s="234" t="s">
        <v>34</v>
      </c>
      <c r="Q43" s="234"/>
      <c r="R43" s="234"/>
      <c r="S43" s="27"/>
    </row>
    <row r="44" spans="1:20" ht="50.25" customHeight="1" x14ac:dyDescent="0.25">
      <c r="A44" s="24" t="s">
        <v>162</v>
      </c>
      <c r="B44" s="13">
        <v>20</v>
      </c>
      <c r="C44" s="39" t="s">
        <v>147</v>
      </c>
      <c r="D44" s="39" t="s">
        <v>79</v>
      </c>
      <c r="E44" s="54">
        <v>2703.78</v>
      </c>
      <c r="F44" s="55"/>
      <c r="G44" s="55">
        <v>200</v>
      </c>
      <c r="H44" s="52">
        <f>(E44/15)*11/2</f>
        <v>991.38600000000008</v>
      </c>
      <c r="I44" s="55">
        <v>0</v>
      </c>
      <c r="J44" s="52">
        <f>(E44-(LOOKUP(E44,ISR!$A$6:$B$17,ISR!$A$6:$A$17)))*(LOOKUP(E44,ISR!$A$6:$B$17,ISR!$D$6:$D$17))+(LOOKUP(E44,ISR!$A$6:$B$17,ISR!$C$6:$C$17))</f>
        <v>156.53288000000001</v>
      </c>
      <c r="K44" s="54">
        <v>0</v>
      </c>
      <c r="L44" s="55">
        <v>0</v>
      </c>
      <c r="M44" s="55">
        <v>19.600000000000001</v>
      </c>
      <c r="N44" s="55">
        <v>48.6</v>
      </c>
      <c r="O44" s="54">
        <f t="shared" si="7"/>
        <v>3670.4331200000001</v>
      </c>
      <c r="P44" s="234" t="s">
        <v>34</v>
      </c>
      <c r="Q44" s="234"/>
      <c r="R44" s="234"/>
      <c r="S44" s="27"/>
    </row>
    <row r="45" spans="1:20" ht="42.75" customHeight="1" x14ac:dyDescent="0.25">
      <c r="A45" s="24" t="s">
        <v>162</v>
      </c>
      <c r="B45" s="13">
        <v>21</v>
      </c>
      <c r="C45" s="39" t="s">
        <v>80</v>
      </c>
      <c r="D45" s="39" t="s">
        <v>79</v>
      </c>
      <c r="E45" s="54">
        <v>2703.78</v>
      </c>
      <c r="F45" s="55"/>
      <c r="G45" s="55">
        <v>200</v>
      </c>
      <c r="H45" s="52">
        <f>(E45/15)*11/2</f>
        <v>991.38600000000008</v>
      </c>
      <c r="I45" s="55">
        <v>0</v>
      </c>
      <c r="J45" s="52">
        <f>(E45-(LOOKUP(E45,ISR!$A$6:$B$17,ISR!$A$6:$A$17)))*(LOOKUP(E45,ISR!$A$6:$B$17,ISR!$D$6:$D$17))+(LOOKUP(E45,ISR!$A$6:$B$17,ISR!$C$6:$C$17))</f>
        <v>156.53288000000001</v>
      </c>
      <c r="K45" s="54">
        <v>0</v>
      </c>
      <c r="L45" s="55">
        <v>0</v>
      </c>
      <c r="M45" s="55">
        <v>19.600000000000001</v>
      </c>
      <c r="N45" s="55">
        <v>48.6</v>
      </c>
      <c r="O45" s="54">
        <f t="shared" si="7"/>
        <v>3670.4331200000001</v>
      </c>
      <c r="P45" s="234" t="s">
        <v>34</v>
      </c>
      <c r="Q45" s="234"/>
      <c r="R45" s="234"/>
      <c r="S45" s="27">
        <v>0</v>
      </c>
    </row>
    <row r="46" spans="1:20" ht="51" customHeight="1" x14ac:dyDescent="0.25">
      <c r="A46" s="24" t="s">
        <v>162</v>
      </c>
      <c r="B46" s="13">
        <v>22</v>
      </c>
      <c r="C46" s="39" t="s">
        <v>81</v>
      </c>
      <c r="D46" s="39" t="s">
        <v>79</v>
      </c>
      <c r="E46" s="54">
        <v>2703.78</v>
      </c>
      <c r="F46" s="55"/>
      <c r="G46" s="55">
        <v>200</v>
      </c>
      <c r="H46" s="52">
        <f>(E46/15)*7/2</f>
        <v>630.88200000000006</v>
      </c>
      <c r="I46" s="55">
        <v>0</v>
      </c>
      <c r="J46" s="52">
        <f>(E46-(LOOKUP(E46,ISR!$A$6:$B$17,ISR!$A$6:$A$17)))*(LOOKUP(E46,ISR!$A$6:$B$17,ISR!$D$6:$D$17))+(LOOKUP(E46,ISR!$A$6:$B$17,ISR!$C$6:$C$17))</f>
        <v>156.53288000000001</v>
      </c>
      <c r="K46" s="54">
        <v>0</v>
      </c>
      <c r="L46" s="55">
        <v>0</v>
      </c>
      <c r="M46" s="55">
        <v>19.600000000000001</v>
      </c>
      <c r="N46" s="55">
        <v>48.6</v>
      </c>
      <c r="O46" s="54">
        <f t="shared" si="7"/>
        <v>3309.9291200000002</v>
      </c>
      <c r="P46" s="234" t="s">
        <v>34</v>
      </c>
      <c r="Q46" s="234"/>
      <c r="R46" s="234"/>
      <c r="S46" s="27"/>
    </row>
    <row r="47" spans="1:20" ht="47.25" customHeight="1" x14ac:dyDescent="0.25">
      <c r="A47" s="24">
        <v>77</v>
      </c>
      <c r="B47" s="13">
        <v>23</v>
      </c>
      <c r="C47" s="39" t="s">
        <v>82</v>
      </c>
      <c r="D47" s="39" t="s">
        <v>79</v>
      </c>
      <c r="E47" s="54">
        <v>2703.78</v>
      </c>
      <c r="F47" s="55"/>
      <c r="G47" s="55">
        <v>200</v>
      </c>
      <c r="H47" s="52">
        <f>(E47/15)*10/2</f>
        <v>901.26</v>
      </c>
      <c r="I47" s="55">
        <v>0</v>
      </c>
      <c r="J47" s="52">
        <f>(E47-(LOOKUP(E47,ISR!$A$6:$B$17,ISR!$A$6:$A$17)))*(LOOKUP(E47,ISR!$A$6:$B$17,ISR!$D$6:$D$17))+(LOOKUP(E47,ISR!$A$6:$B$17,ISR!$C$6:$C$17))</f>
        <v>156.53288000000001</v>
      </c>
      <c r="K47" s="54">
        <v>0</v>
      </c>
      <c r="L47" s="55">
        <v>0</v>
      </c>
      <c r="M47" s="55">
        <v>19.600000000000001</v>
      </c>
      <c r="N47" s="55">
        <v>48.6</v>
      </c>
      <c r="O47" s="54">
        <f t="shared" si="7"/>
        <v>3580.3071199999999</v>
      </c>
      <c r="P47" s="234" t="s">
        <v>34</v>
      </c>
      <c r="Q47" s="234"/>
      <c r="R47" s="234"/>
      <c r="S47" s="27"/>
    </row>
    <row r="48" spans="1:20" ht="42.75" customHeight="1" x14ac:dyDescent="0.25">
      <c r="A48" s="24" t="s">
        <v>162</v>
      </c>
      <c r="B48" s="13">
        <v>24</v>
      </c>
      <c r="C48" s="175" t="s">
        <v>161</v>
      </c>
      <c r="D48" s="39" t="s">
        <v>79</v>
      </c>
      <c r="E48" s="54">
        <v>2703.78</v>
      </c>
      <c r="F48" s="55"/>
      <c r="G48" s="55">
        <v>200</v>
      </c>
      <c r="H48" s="52">
        <f>(E48/15)*6/2</f>
        <v>540.75600000000009</v>
      </c>
      <c r="I48" s="55"/>
      <c r="J48" s="52">
        <f>(E48-(LOOKUP(E48,ISR!$A$6:$B$17,ISR!$A$6:$A$17)))*(LOOKUP(E48,ISR!$A$6:$B$17,ISR!$D$6:$D$17))+(LOOKUP(E48,ISR!$A$6:$B$17,ISR!$C$6:$C$17))</f>
        <v>156.53288000000001</v>
      </c>
      <c r="K48" s="54">
        <v>0</v>
      </c>
      <c r="L48" s="55">
        <v>0</v>
      </c>
      <c r="M48" s="55">
        <v>19.600000000000001</v>
      </c>
      <c r="N48" s="55">
        <v>48.6</v>
      </c>
      <c r="O48" s="54">
        <f t="shared" si="7"/>
        <v>3219.80312</v>
      </c>
      <c r="P48" s="234" t="s">
        <v>34</v>
      </c>
      <c r="Q48" s="234"/>
      <c r="R48" s="234"/>
      <c r="S48" s="27"/>
    </row>
    <row r="49" spans="1:19" ht="40.5" customHeight="1" x14ac:dyDescent="0.25">
      <c r="A49" s="24" t="s">
        <v>162</v>
      </c>
      <c r="B49" s="13">
        <v>25</v>
      </c>
      <c r="C49" s="56" t="s">
        <v>148</v>
      </c>
      <c r="D49" s="39" t="s">
        <v>79</v>
      </c>
      <c r="E49" s="57">
        <v>2703.78</v>
      </c>
      <c r="F49" s="57"/>
      <c r="G49" s="57">
        <v>200</v>
      </c>
      <c r="H49" s="57">
        <f>(E49/15)*6/2</f>
        <v>540.75600000000009</v>
      </c>
      <c r="I49" s="57">
        <v>0</v>
      </c>
      <c r="J49" s="57">
        <f>(E49-(LOOKUP(E49,ISR!$A$6:$B$17,ISR!$A$6:$A$17)))*(LOOKUP(E49,ISR!$A$6:$B$17,ISR!$D$6:$D$17))+(LOOKUP(E49,ISR!$A$6:$B$17,ISR!$C$6:$C$17))</f>
        <v>156.53288000000001</v>
      </c>
      <c r="K49" s="57">
        <v>0</v>
      </c>
      <c r="L49" s="57">
        <v>0</v>
      </c>
      <c r="M49" s="57">
        <v>19.600000000000001</v>
      </c>
      <c r="N49" s="57">
        <v>48.6</v>
      </c>
      <c r="O49" s="57">
        <f t="shared" si="7"/>
        <v>3219.80312</v>
      </c>
      <c r="P49" s="234" t="s">
        <v>34</v>
      </c>
      <c r="Q49" s="234"/>
      <c r="R49" s="234"/>
      <c r="S49" s="216"/>
    </row>
    <row r="50" spans="1:19" ht="45.75" customHeight="1" x14ac:dyDescent="0.25">
      <c r="A50" s="24" t="s">
        <v>162</v>
      </c>
      <c r="B50" s="13">
        <v>26</v>
      </c>
      <c r="C50" s="56" t="s">
        <v>288</v>
      </c>
      <c r="D50" s="39" t="s">
        <v>79</v>
      </c>
      <c r="E50" s="57">
        <v>2932.74</v>
      </c>
      <c r="F50" s="55"/>
      <c r="G50" s="52">
        <v>200</v>
      </c>
      <c r="H50" s="52">
        <v>0</v>
      </c>
      <c r="I50" s="52">
        <v>0</v>
      </c>
      <c r="J50" s="52">
        <f>(E50-(LOOKUP(E50,ISR!$A$6:$B$17,ISR!$A$6:$A$17)))*(LOOKUP(E50,ISR!$A$6:$B$17,ISR!$D$6:$D$17))+(LOOKUP(E50,ISR!$A$6:$B$17,ISR!$C$6:$C$17))</f>
        <v>171.18631999999999</v>
      </c>
      <c r="K50" s="57">
        <v>0</v>
      </c>
      <c r="L50" s="52">
        <v>0</v>
      </c>
      <c r="M50" s="52">
        <v>19.600000000000001</v>
      </c>
      <c r="N50" s="52">
        <v>0</v>
      </c>
      <c r="O50" s="57">
        <f t="shared" si="7"/>
        <v>2941.9536800000001</v>
      </c>
      <c r="P50" s="74"/>
      <c r="Q50" s="74"/>
      <c r="R50" s="74"/>
      <c r="S50" s="27"/>
    </row>
    <row r="51" spans="1:19" ht="46.5" customHeight="1" x14ac:dyDescent="0.25">
      <c r="A51" s="24" t="s">
        <v>456</v>
      </c>
      <c r="B51" s="13">
        <v>27</v>
      </c>
      <c r="C51" s="39" t="s">
        <v>158</v>
      </c>
      <c r="D51" s="39" t="s">
        <v>79</v>
      </c>
      <c r="E51" s="54">
        <v>2318.2199999999998</v>
      </c>
      <c r="F51" s="55">
        <v>0</v>
      </c>
      <c r="G51" s="55">
        <v>200</v>
      </c>
      <c r="H51" s="52">
        <f>(E51/15)*5/2</f>
        <v>386.36999999999995</v>
      </c>
      <c r="I51" s="55">
        <v>0</v>
      </c>
      <c r="J51" s="52">
        <f>(E51-(LOOKUP(E51,ISR!$A$6:$B$17,ISR!$A$6:$A$17)))*(LOOKUP(E51,ISR!$A$6:$B$17,ISR!$D$6:$D$17))+(LOOKUP(E51,ISR!$A$6:$B$17,ISR!$C$6:$C$17))</f>
        <v>131.85703999999998</v>
      </c>
      <c r="K51" s="54">
        <v>0</v>
      </c>
      <c r="L51" s="55">
        <v>0</v>
      </c>
      <c r="M51" s="55">
        <v>18</v>
      </c>
      <c r="N51" s="55">
        <v>48.6</v>
      </c>
      <c r="O51" s="54">
        <f t="shared" si="7"/>
        <v>2706.1329599999999</v>
      </c>
      <c r="P51" s="234" t="s">
        <v>34</v>
      </c>
      <c r="Q51" s="234"/>
      <c r="R51" s="234"/>
      <c r="S51" s="27"/>
    </row>
    <row r="52" spans="1:19" ht="42.75" customHeight="1" x14ac:dyDescent="0.25">
      <c r="A52" s="24" t="s">
        <v>162</v>
      </c>
      <c r="B52" s="13">
        <v>28</v>
      </c>
      <c r="C52" s="39" t="s">
        <v>46</v>
      </c>
      <c r="D52" s="39" t="s">
        <v>121</v>
      </c>
      <c r="E52" s="54">
        <v>5692.14</v>
      </c>
      <c r="F52" s="55">
        <v>0</v>
      </c>
      <c r="G52" s="55">
        <v>200</v>
      </c>
      <c r="H52" s="52">
        <f>(E52/15)*7/2</f>
        <v>1328.1659999999999</v>
      </c>
      <c r="I52" s="55"/>
      <c r="J52" s="52">
        <f>(E52-(LOOKUP(E52,ISR!$A$6:$B$17,ISR!$A$6:$A$17)))*(LOOKUP(E52,ISR!$A$6:$B$17,ISR!$D$6:$D$17))+(LOOKUP(E52,ISR!$A$6:$B$17,ISR!$C$6:$C$17))</f>
        <v>473.2208</v>
      </c>
      <c r="K52" s="54">
        <v>0</v>
      </c>
      <c r="L52" s="55">
        <v>0</v>
      </c>
      <c r="M52" s="55">
        <v>30</v>
      </c>
      <c r="N52" s="55">
        <v>59.7</v>
      </c>
      <c r="O52" s="54">
        <f t="shared" si="7"/>
        <v>6657.3852000000006</v>
      </c>
      <c r="P52" s="234" t="s">
        <v>34</v>
      </c>
      <c r="Q52" s="234"/>
      <c r="R52" s="234"/>
      <c r="S52" s="27"/>
    </row>
    <row r="53" spans="1:19" ht="41.25" customHeight="1" thickBot="1" x14ac:dyDescent="0.3">
      <c r="A53" s="24" t="s">
        <v>162</v>
      </c>
      <c r="B53" s="13">
        <v>29</v>
      </c>
      <c r="C53" s="39" t="s">
        <v>160</v>
      </c>
      <c r="D53" s="39" t="s">
        <v>88</v>
      </c>
      <c r="E53" s="48">
        <v>2446.1999999999998</v>
      </c>
      <c r="F53" s="59"/>
      <c r="G53" s="48">
        <v>200</v>
      </c>
      <c r="H53" s="49">
        <f>(E53/15)*6/2</f>
        <v>489.23999999999995</v>
      </c>
      <c r="I53" s="49">
        <v>0</v>
      </c>
      <c r="J53" s="49">
        <f>(E53-(LOOKUP(E53,ISR!$A$6:$B$17,ISR!$A$6:$A$17)))*(LOOKUP(E53,ISR!$A$6:$B$17,ISR!$D$6:$D$17))+(LOOKUP(E53,ISR!$A$6:$B$17,ISR!$C$6:$C$17))</f>
        <v>140.04775999999998</v>
      </c>
      <c r="K53" s="59"/>
      <c r="L53" s="59"/>
      <c r="M53" s="48">
        <v>19</v>
      </c>
      <c r="N53" s="48">
        <v>43.95</v>
      </c>
      <c r="O53" s="48">
        <f t="shared" si="7"/>
        <v>2932.4422399999999</v>
      </c>
      <c r="P53" s="234" t="s">
        <v>34</v>
      </c>
      <c r="Q53" s="234"/>
      <c r="R53" s="234"/>
      <c r="S53" s="27"/>
    </row>
    <row r="54" spans="1:19" ht="24.75" customHeight="1" x14ac:dyDescent="0.25">
      <c r="C54" s="39"/>
      <c r="D54" s="39"/>
      <c r="E54" s="60">
        <f>SUM(E43:E53)</f>
        <v>32315.760000000006</v>
      </c>
      <c r="F54" s="60">
        <f t="shared" ref="F54:N54" si="8">SUM(F43:F53)</f>
        <v>0</v>
      </c>
      <c r="G54" s="60">
        <f>SUM(G43:G53)</f>
        <v>2200</v>
      </c>
      <c r="H54" s="60">
        <f>SUM(H43:H53)</f>
        <v>7881.7140000000009</v>
      </c>
      <c r="I54" s="60">
        <f t="shared" si="8"/>
        <v>0</v>
      </c>
      <c r="J54" s="60">
        <f>SUM(J43:J53)</f>
        <v>2012.0420800000002</v>
      </c>
      <c r="K54" s="60">
        <f t="shared" si="8"/>
        <v>0</v>
      </c>
      <c r="L54" s="60">
        <f t="shared" si="8"/>
        <v>0</v>
      </c>
      <c r="M54" s="60">
        <f>SUM(M43:M53)</f>
        <v>223.79999999999998</v>
      </c>
      <c r="N54" s="60">
        <f t="shared" si="8"/>
        <v>492.45000000000005</v>
      </c>
      <c r="O54" s="60">
        <f>SUM(O43:O53)</f>
        <v>39669.181919999995</v>
      </c>
      <c r="S54" s="27"/>
    </row>
    <row r="55" spans="1:19" ht="15.75" x14ac:dyDescent="0.25">
      <c r="C55" s="47" t="s">
        <v>131</v>
      </c>
      <c r="D55" s="39"/>
      <c r="E55" s="54"/>
      <c r="F55" s="55"/>
      <c r="G55" s="55"/>
      <c r="H55" s="55"/>
      <c r="I55" s="55"/>
      <c r="J55" s="55"/>
      <c r="K55" s="54"/>
      <c r="L55" s="55"/>
      <c r="M55" s="55"/>
      <c r="N55" s="55"/>
      <c r="O55" s="55"/>
      <c r="S55" s="27"/>
    </row>
    <row r="56" spans="1:19" ht="36" customHeight="1" x14ac:dyDescent="0.25">
      <c r="A56" s="33" t="s">
        <v>162</v>
      </c>
      <c r="B56" s="165">
        <v>30</v>
      </c>
      <c r="C56" s="56" t="s">
        <v>61</v>
      </c>
      <c r="D56" s="56" t="s">
        <v>120</v>
      </c>
      <c r="E56" s="61">
        <v>3312.36</v>
      </c>
      <c r="F56" s="62">
        <v>0</v>
      </c>
      <c r="G56" s="62">
        <v>200</v>
      </c>
      <c r="H56" s="63">
        <f>(E56/15)*13/2</f>
        <v>1435.356</v>
      </c>
      <c r="I56" s="55">
        <f>E56/15*4</f>
        <v>883.29600000000005</v>
      </c>
      <c r="J56" s="52">
        <f>(E56-(LOOKUP(E56,ISR!$A$6:$B$17,ISR!$A$6:$A$17)))*(LOOKUP(E56,ISR!$A$6:$B$17,ISR!$D$6:$D$17))+(LOOKUP(E56,ISR!$A$6:$B$17,ISR!$C$6:$C$17))</f>
        <v>203.90439999999998</v>
      </c>
      <c r="K56" s="61">
        <v>0</v>
      </c>
      <c r="L56" s="62">
        <v>0</v>
      </c>
      <c r="M56" s="62">
        <v>24.02</v>
      </c>
      <c r="N56" s="62"/>
      <c r="O56" s="61">
        <f t="shared" ref="O56:O62" si="9">E56+F56+G56+H56+I56-J56-K56-L56-M56-N56</f>
        <v>5603.0875999999998</v>
      </c>
      <c r="P56" s="235" t="s">
        <v>34</v>
      </c>
      <c r="Q56" s="235"/>
      <c r="R56" s="235"/>
      <c r="S56" s="27"/>
    </row>
    <row r="57" spans="1:19" ht="47.25" customHeight="1" x14ac:dyDescent="0.25">
      <c r="A57" s="33" t="s">
        <v>162</v>
      </c>
      <c r="B57" s="165">
        <v>31</v>
      </c>
      <c r="C57" s="56" t="s">
        <v>157</v>
      </c>
      <c r="D57" s="56" t="s">
        <v>120</v>
      </c>
      <c r="E57" s="61">
        <v>4538.7</v>
      </c>
      <c r="F57" s="62">
        <v>0</v>
      </c>
      <c r="G57" s="62">
        <v>200</v>
      </c>
      <c r="H57" s="63">
        <f>(E57/15)*6/2</f>
        <v>907.74</v>
      </c>
      <c r="I57" s="55">
        <f>E57/15*7+500</f>
        <v>2618.06</v>
      </c>
      <c r="J57" s="52">
        <f>(E57-(LOOKUP(E57,ISR!$A$6:$B$17,ISR!$A$6:$A$17)))*(LOOKUP(E57,ISR!$A$6:$B$17,ISR!$D$6:$D$17))+(LOOKUP(E57,ISR!$A$6:$B$17,ISR!$C$6:$C$17))</f>
        <v>337.33019199999995</v>
      </c>
      <c r="K57" s="61">
        <v>0</v>
      </c>
      <c r="L57" s="62">
        <v>0</v>
      </c>
      <c r="M57" s="62">
        <v>19.600000000000001</v>
      </c>
      <c r="N57" s="62">
        <v>48.6</v>
      </c>
      <c r="O57" s="61">
        <f t="shared" si="9"/>
        <v>7858.9698079999989</v>
      </c>
      <c r="P57" s="235" t="s">
        <v>34</v>
      </c>
      <c r="Q57" s="235"/>
      <c r="R57" s="235"/>
      <c r="S57" s="27"/>
    </row>
    <row r="58" spans="1:19" ht="44.25" customHeight="1" x14ac:dyDescent="0.25">
      <c r="A58" s="33" t="s">
        <v>162</v>
      </c>
      <c r="B58" s="165">
        <v>32</v>
      </c>
      <c r="C58" s="56" t="s">
        <v>74</v>
      </c>
      <c r="D58" s="56" t="s">
        <v>73</v>
      </c>
      <c r="E58" s="61">
        <v>2419.1999999999998</v>
      </c>
      <c r="F58" s="62">
        <v>0</v>
      </c>
      <c r="G58" s="62">
        <v>200</v>
      </c>
      <c r="H58" s="99">
        <f>(E58/15)*9/2</f>
        <v>725.76</v>
      </c>
      <c r="I58" s="55">
        <v>500</v>
      </c>
      <c r="J58" s="52">
        <f>(E58-(LOOKUP(E58,ISR!$A$6:$B$17,ISR!$A$6:$A$17)))*(LOOKUP(E58,ISR!$A$6:$B$17,ISR!$D$6:$D$17))+(LOOKUP(E58,ISR!$A$6:$B$17,ISR!$C$6:$C$17))</f>
        <v>138.31976</v>
      </c>
      <c r="K58" s="61">
        <v>0</v>
      </c>
      <c r="L58" s="62">
        <v>0</v>
      </c>
      <c r="M58" s="62">
        <v>17.54</v>
      </c>
      <c r="N58" s="62">
        <v>43.5</v>
      </c>
      <c r="O58" s="61">
        <f t="shared" si="9"/>
        <v>3645.6002400000002</v>
      </c>
      <c r="P58" s="235" t="s">
        <v>34</v>
      </c>
      <c r="Q58" s="235"/>
      <c r="R58" s="235"/>
      <c r="S58" s="27"/>
    </row>
    <row r="59" spans="1:19" ht="40.5" customHeight="1" x14ac:dyDescent="0.25">
      <c r="A59" s="33"/>
      <c r="B59" s="165">
        <v>33</v>
      </c>
      <c r="C59" s="39" t="s">
        <v>294</v>
      </c>
      <c r="D59" s="56" t="s">
        <v>291</v>
      </c>
      <c r="E59" s="61">
        <v>2419.1999999999998</v>
      </c>
      <c r="F59" s="55">
        <v>0</v>
      </c>
      <c r="G59" s="62">
        <v>200</v>
      </c>
      <c r="H59" s="63">
        <f>(E59/15)*8.3/2</f>
        <v>669.31200000000001</v>
      </c>
      <c r="I59" s="55">
        <f>E59/15*5+500</f>
        <v>1306.4000000000001</v>
      </c>
      <c r="J59" s="52">
        <f>(E59-(LOOKUP(E59,ISR!$A$6:$B$17,ISR!$A$6:$A$17)))*(LOOKUP(E59,ISR!$A$6:$B$17,ISR!$D$6:$D$17))+(LOOKUP(E59,ISR!$A$6:$B$17,ISR!$C$6:$C$17))</f>
        <v>138.31976</v>
      </c>
      <c r="K59" s="61">
        <v>0</v>
      </c>
      <c r="L59" s="62">
        <v>0</v>
      </c>
      <c r="M59" s="62">
        <v>17.54</v>
      </c>
      <c r="N59" s="62"/>
      <c r="O59" s="61">
        <f t="shared" si="9"/>
        <v>4439.05224</v>
      </c>
      <c r="P59" s="92"/>
      <c r="Q59" s="92"/>
      <c r="R59" s="92"/>
      <c r="S59" s="27"/>
    </row>
    <row r="60" spans="1:19" ht="38.25" customHeight="1" x14ac:dyDescent="0.25">
      <c r="A60" s="33" t="s">
        <v>162</v>
      </c>
      <c r="B60" s="165">
        <v>34</v>
      </c>
      <c r="C60" s="56" t="s">
        <v>75</v>
      </c>
      <c r="D60" s="56" t="s">
        <v>73</v>
      </c>
      <c r="E60" s="61">
        <v>2419.1999999999998</v>
      </c>
      <c r="F60" s="62">
        <v>0</v>
      </c>
      <c r="G60" s="62">
        <v>200</v>
      </c>
      <c r="H60" s="99">
        <f>(E60/15)*9/2</f>
        <v>725.76</v>
      </c>
      <c r="I60" s="55">
        <f>E60/15*7+500</f>
        <v>1628.96</v>
      </c>
      <c r="J60" s="52">
        <f>(E60-(LOOKUP(E60,ISR!$A$6:$B$17,ISR!$A$6:$A$17)))*(LOOKUP(E60,ISR!$A$6:$B$17,ISR!$D$6:$D$17))+(LOOKUP(E60,ISR!$A$6:$B$17,ISR!$C$6:$C$17))</f>
        <v>138.31976</v>
      </c>
      <c r="K60" s="61">
        <v>0</v>
      </c>
      <c r="L60" s="62">
        <v>0</v>
      </c>
      <c r="M60" s="62">
        <v>17.54</v>
      </c>
      <c r="N60" s="62">
        <v>43.5</v>
      </c>
      <c r="O60" s="61">
        <f t="shared" si="9"/>
        <v>4774.5602399999998</v>
      </c>
      <c r="P60" s="236" t="s">
        <v>34</v>
      </c>
      <c r="Q60" s="236"/>
      <c r="R60" s="236"/>
      <c r="S60" s="27"/>
    </row>
    <row r="61" spans="1:19" ht="36.75" customHeight="1" x14ac:dyDescent="0.25">
      <c r="A61" s="33"/>
      <c r="B61" s="165">
        <v>35</v>
      </c>
      <c r="C61" s="56" t="s">
        <v>77</v>
      </c>
      <c r="D61" s="56" t="s">
        <v>73</v>
      </c>
      <c r="E61" s="61">
        <v>2449.98</v>
      </c>
      <c r="F61" s="62">
        <v>0</v>
      </c>
      <c r="G61" s="62">
        <v>200</v>
      </c>
      <c r="H61" s="63">
        <f>(E61/15)*12/2</f>
        <v>979.99199999999996</v>
      </c>
      <c r="I61" s="52"/>
      <c r="J61" s="52">
        <f>(E61-(LOOKUP(E61,ISR!$A$6:$B$17,ISR!$A$6:$A$17)))*(LOOKUP(E61,ISR!$A$6:$B$17,ISR!$D$6:$D$17))+(LOOKUP(E61,ISR!$A$6:$B$17,ISR!$C$6:$C$17))</f>
        <v>140.28968</v>
      </c>
      <c r="K61" s="61">
        <v>0</v>
      </c>
      <c r="L61" s="62">
        <v>0</v>
      </c>
      <c r="M61" s="62">
        <v>17.760000000000002</v>
      </c>
      <c r="N61" s="62">
        <v>43.95</v>
      </c>
      <c r="O61" s="61">
        <f t="shared" si="9"/>
        <v>3427.9723199999999</v>
      </c>
      <c r="P61" s="235" t="s">
        <v>34</v>
      </c>
      <c r="Q61" s="235"/>
      <c r="R61" s="235"/>
      <c r="S61" s="27"/>
    </row>
    <row r="62" spans="1:19" ht="42.75" customHeight="1" thickBot="1" x14ac:dyDescent="0.3">
      <c r="A62" s="24" t="s">
        <v>162</v>
      </c>
      <c r="B62" s="13">
        <v>36</v>
      </c>
      <c r="C62" s="39" t="s">
        <v>122</v>
      </c>
      <c r="D62" s="39" t="s">
        <v>73</v>
      </c>
      <c r="E62" s="48">
        <v>3441.42</v>
      </c>
      <c r="F62" s="49">
        <v>0</v>
      </c>
      <c r="G62" s="49">
        <v>200</v>
      </c>
      <c r="H62" s="49">
        <f>(E62/15)*12/2</f>
        <v>1376.568</v>
      </c>
      <c r="I62" s="49">
        <f>E62/15*6+500</f>
        <v>1876.568</v>
      </c>
      <c r="J62" s="49">
        <f>(E62-(LOOKUP(E62,ISR!$A$6:$B$17,ISR!$A$6:$A$17)))*(LOOKUP(E62,ISR!$A$6:$B$17,ISR!$D$6:$D$17))+(LOOKUP(E62,ISR!$A$6:$B$17,ISR!$C$6:$C$17))</f>
        <v>217.94612799999999</v>
      </c>
      <c r="K62" s="48">
        <v>0</v>
      </c>
      <c r="L62" s="49">
        <f>E62/15*1</f>
        <v>229.428</v>
      </c>
      <c r="M62" s="49">
        <v>24.95</v>
      </c>
      <c r="N62" s="49">
        <v>61.95</v>
      </c>
      <c r="O62" s="48">
        <f t="shared" si="9"/>
        <v>6360.2818720000014</v>
      </c>
      <c r="P62" s="234" t="s">
        <v>34</v>
      </c>
      <c r="Q62" s="234"/>
      <c r="R62" s="234"/>
      <c r="S62" s="27"/>
    </row>
    <row r="63" spans="1:19" ht="24.75" customHeight="1" x14ac:dyDescent="0.25">
      <c r="C63" s="39"/>
      <c r="D63" s="39"/>
      <c r="E63" s="60">
        <f t="shared" ref="E63:O63" si="10">SUM(E56:E62)</f>
        <v>21000.059999999998</v>
      </c>
      <c r="F63" s="51">
        <f t="shared" si="10"/>
        <v>0</v>
      </c>
      <c r="G63" s="51">
        <f t="shared" si="10"/>
        <v>1400</v>
      </c>
      <c r="H63" s="51">
        <f t="shared" si="10"/>
        <v>6820.4880000000003</v>
      </c>
      <c r="I63" s="51">
        <f t="shared" si="10"/>
        <v>8813.2839999999997</v>
      </c>
      <c r="J63" s="51">
        <f t="shared" si="10"/>
        <v>1314.42968</v>
      </c>
      <c r="K63" s="60">
        <f t="shared" si="10"/>
        <v>0</v>
      </c>
      <c r="L63" s="51">
        <f t="shared" si="10"/>
        <v>229.428</v>
      </c>
      <c r="M63" s="51">
        <f t="shared" si="10"/>
        <v>138.95000000000002</v>
      </c>
      <c r="N63" s="51">
        <f t="shared" si="10"/>
        <v>241.5</v>
      </c>
      <c r="O63" s="51">
        <f t="shared" si="10"/>
        <v>36109.524320000004</v>
      </c>
      <c r="S63" s="27"/>
    </row>
    <row r="64" spans="1:19" ht="24.75" customHeight="1" x14ac:dyDescent="0.25">
      <c r="C64" s="47" t="s">
        <v>66</v>
      </c>
      <c r="D64" s="39"/>
      <c r="E64" s="54"/>
      <c r="F64" s="55"/>
      <c r="G64" s="55"/>
      <c r="H64" s="55"/>
      <c r="I64" s="55"/>
      <c r="J64" s="55"/>
      <c r="K64" s="54"/>
      <c r="L64" s="55"/>
      <c r="M64" s="55"/>
      <c r="N64" s="55"/>
      <c r="O64" s="55"/>
      <c r="S64" s="27"/>
    </row>
    <row r="65" spans="1:19" ht="24.75" customHeight="1" x14ac:dyDescent="0.25">
      <c r="B65" s="13">
        <v>37</v>
      </c>
      <c r="C65" s="39" t="s">
        <v>67</v>
      </c>
      <c r="D65" s="39" t="s">
        <v>310</v>
      </c>
      <c r="E65" s="57">
        <v>4629.96</v>
      </c>
      <c r="F65" s="52">
        <v>0</v>
      </c>
      <c r="G65" s="52">
        <v>200</v>
      </c>
      <c r="H65" s="52">
        <f>(E65/15)*11/2</f>
        <v>1697.652</v>
      </c>
      <c r="I65" s="52"/>
      <c r="J65" s="52">
        <f>(E65-(LOOKUP(E65,ISR!$A$6:$B$17,ISR!$A$6:$A$17)))*(LOOKUP(E65,ISR!$A$6:$B$17,ISR!$D$6:$D$17))+(LOOKUP(E65,ISR!$A$6:$B$17,ISR!$C$6:$C$17))</f>
        <v>347.25927999999999</v>
      </c>
      <c r="K65" s="57">
        <v>0</v>
      </c>
      <c r="L65" s="52">
        <v>0</v>
      </c>
      <c r="M65" s="52">
        <v>28.9</v>
      </c>
      <c r="N65" s="52">
        <v>71.849999999999994</v>
      </c>
      <c r="O65" s="57">
        <f>E65+F65+G65+H65+I65-J65-K65-L65-M65-N65</f>
        <v>6079.6027199999999</v>
      </c>
      <c r="P65" s="234" t="s">
        <v>34</v>
      </c>
      <c r="Q65" s="234"/>
      <c r="R65" s="234"/>
      <c r="S65" s="27"/>
    </row>
    <row r="66" spans="1:19" ht="37.5" customHeight="1" thickBot="1" x14ac:dyDescent="0.3">
      <c r="B66" s="13">
        <v>38</v>
      </c>
      <c r="C66" s="39" t="s">
        <v>62</v>
      </c>
      <c r="D66" s="39" t="s">
        <v>63</v>
      </c>
      <c r="E66" s="48">
        <v>2296.62</v>
      </c>
      <c r="F66" s="49">
        <v>0</v>
      </c>
      <c r="G66" s="49">
        <v>200</v>
      </c>
      <c r="H66" s="49">
        <f>(E66/15)*11/2</f>
        <v>842.09400000000005</v>
      </c>
      <c r="I66" s="49">
        <v>0</v>
      </c>
      <c r="J66" s="49">
        <f>(E66-(LOOKUP(E66,ISR!$A$6:$B$17,ISR!$A$6:$A$17)))*(LOOKUP(E66,ISR!$A$6:$B$17,ISR!$D$6:$D$17))+(LOOKUP(E66,ISR!$A$6:$B$17,ISR!$C$6:$C$17))</f>
        <v>130.47463999999999</v>
      </c>
      <c r="K66" s="48">
        <v>0</v>
      </c>
      <c r="L66" s="49">
        <v>0</v>
      </c>
      <c r="M66" s="49">
        <v>16.649999999999999</v>
      </c>
      <c r="N66" s="49">
        <v>41.55</v>
      </c>
      <c r="O66" s="48">
        <f>E66+F66+G66+H66+I66-J66-K66-L66-M66-N66</f>
        <v>3150.0393599999998</v>
      </c>
      <c r="P66" s="234" t="s">
        <v>34</v>
      </c>
      <c r="Q66" s="234"/>
      <c r="R66" s="234"/>
      <c r="S66" s="27"/>
    </row>
    <row r="67" spans="1:19" ht="24.75" customHeight="1" x14ac:dyDescent="0.25">
      <c r="C67" s="39"/>
      <c r="D67" s="39"/>
      <c r="E67" s="60">
        <f>SUM(E65:E66)</f>
        <v>6926.58</v>
      </c>
      <c r="F67" s="51">
        <f>SUM(F66)</f>
        <v>0</v>
      </c>
      <c r="G67" s="51">
        <f t="shared" ref="G67:O67" si="11">SUM(G65:G66)</f>
        <v>400</v>
      </c>
      <c r="H67" s="51">
        <f t="shared" si="11"/>
        <v>2539.7460000000001</v>
      </c>
      <c r="I67" s="51">
        <f t="shared" si="11"/>
        <v>0</v>
      </c>
      <c r="J67" s="51">
        <f t="shared" si="11"/>
        <v>477.73392000000001</v>
      </c>
      <c r="K67" s="60">
        <f t="shared" si="11"/>
        <v>0</v>
      </c>
      <c r="L67" s="51">
        <f t="shared" si="11"/>
        <v>0</v>
      </c>
      <c r="M67" s="51">
        <f t="shared" si="11"/>
        <v>45.55</v>
      </c>
      <c r="N67" s="51">
        <f t="shared" si="11"/>
        <v>113.39999999999999</v>
      </c>
      <c r="O67" s="51">
        <f t="shared" si="11"/>
        <v>9229.6420799999996</v>
      </c>
      <c r="S67" s="27"/>
    </row>
    <row r="68" spans="1:19" ht="24.75" customHeight="1" x14ac:dyDescent="0.3">
      <c r="C68" s="110" t="s">
        <v>0</v>
      </c>
      <c r="D68" s="111"/>
      <c r="E68" s="54"/>
      <c r="F68" s="55"/>
      <c r="G68" s="55"/>
      <c r="H68" s="52"/>
      <c r="I68" s="55"/>
      <c r="J68" s="55"/>
      <c r="K68" s="54"/>
      <c r="L68" s="55"/>
      <c r="M68" s="55"/>
      <c r="N68" s="55"/>
      <c r="O68" s="54"/>
      <c r="S68" s="27"/>
    </row>
    <row r="69" spans="1:19" ht="24.75" customHeight="1" x14ac:dyDescent="0.3">
      <c r="C69" s="231" t="s">
        <v>512</v>
      </c>
      <c r="D69" s="231"/>
      <c r="E69" s="231"/>
      <c r="F69" s="55"/>
      <c r="G69" s="55"/>
      <c r="H69" s="52"/>
      <c r="I69" s="55"/>
      <c r="J69" s="55"/>
      <c r="K69" s="54"/>
      <c r="L69" s="55"/>
      <c r="M69" s="55"/>
      <c r="N69" s="55"/>
      <c r="O69" s="39" t="s">
        <v>513</v>
      </c>
      <c r="S69" s="27"/>
    </row>
    <row r="70" spans="1:19" ht="27" customHeight="1" x14ac:dyDescent="0.25">
      <c r="C70" s="46" t="s">
        <v>1</v>
      </c>
      <c r="D70" s="46" t="s">
        <v>2</v>
      </c>
      <c r="E70" s="46" t="s">
        <v>3</v>
      </c>
      <c r="F70" s="46" t="s">
        <v>4</v>
      </c>
      <c r="G70" s="46" t="s">
        <v>8</v>
      </c>
      <c r="H70" s="46" t="s">
        <v>29</v>
      </c>
      <c r="I70" s="46" t="s">
        <v>30</v>
      </c>
      <c r="J70" s="46" t="s">
        <v>5</v>
      </c>
      <c r="K70" s="46" t="s">
        <v>117</v>
      </c>
      <c r="L70" s="46" t="s">
        <v>11</v>
      </c>
      <c r="M70" s="46" t="s">
        <v>31</v>
      </c>
      <c r="N70" s="46" t="s">
        <v>6</v>
      </c>
      <c r="O70" s="46" t="s">
        <v>12</v>
      </c>
      <c r="S70" s="27"/>
    </row>
    <row r="71" spans="1:19" ht="15.75" x14ac:dyDescent="0.25">
      <c r="C71" s="47" t="s">
        <v>68</v>
      </c>
      <c r="D71" s="39"/>
      <c r="E71" s="57"/>
      <c r="F71" s="52"/>
      <c r="G71" s="52"/>
      <c r="H71" s="52"/>
      <c r="I71" s="52"/>
      <c r="J71" s="52"/>
      <c r="K71" s="57"/>
      <c r="L71" s="52"/>
      <c r="M71" s="52"/>
      <c r="N71" s="52"/>
      <c r="O71" s="52"/>
      <c r="S71" s="27"/>
    </row>
    <row r="72" spans="1:19" ht="30" customHeight="1" thickBot="1" x14ac:dyDescent="0.3">
      <c r="A72" s="24" t="s">
        <v>162</v>
      </c>
      <c r="B72" s="13">
        <v>39</v>
      </c>
      <c r="C72" s="39" t="s">
        <v>76</v>
      </c>
      <c r="D72" s="39" t="s">
        <v>79</v>
      </c>
      <c r="E72" s="48">
        <v>2459.6999999999998</v>
      </c>
      <c r="F72" s="49">
        <v>0</v>
      </c>
      <c r="G72" s="49">
        <v>200</v>
      </c>
      <c r="H72" s="48">
        <f>(E72/15)*12/2</f>
        <v>983.87999999999988</v>
      </c>
      <c r="I72" s="49"/>
      <c r="J72" s="49">
        <f>(E72-(LOOKUP(E72,ISR!$A$6:$B$17,ISR!$A$6:$A$17)))*(LOOKUP(E72,ISR!$A$6:$B$17,ISR!$D$6:$D$17))+(LOOKUP(E72,ISR!$A$6:$B$17,ISR!$C$6:$C$17))</f>
        <v>140.91175999999999</v>
      </c>
      <c r="K72" s="48">
        <v>0</v>
      </c>
      <c r="L72" s="49">
        <v>0</v>
      </c>
      <c r="M72" s="49">
        <v>0</v>
      </c>
      <c r="N72" s="49">
        <v>44.4</v>
      </c>
      <c r="O72" s="48">
        <f>E72+F72+G72+H72+I72-J72-K72-L72-M72-N72</f>
        <v>3458.2682399999999</v>
      </c>
      <c r="P72" s="234" t="s">
        <v>34</v>
      </c>
      <c r="Q72" s="234"/>
      <c r="R72" s="234"/>
      <c r="S72" s="27"/>
    </row>
    <row r="73" spans="1:19" ht="24.75" customHeight="1" x14ac:dyDescent="0.25">
      <c r="C73" s="44"/>
      <c r="D73" s="39"/>
      <c r="E73" s="60">
        <f t="shared" ref="E73:O73" si="12">SUM(E72)</f>
        <v>2459.6999999999998</v>
      </c>
      <c r="F73" s="51">
        <f t="shared" si="12"/>
        <v>0</v>
      </c>
      <c r="G73" s="51">
        <f t="shared" si="12"/>
        <v>200</v>
      </c>
      <c r="H73" s="51">
        <f t="shared" si="12"/>
        <v>983.87999999999988</v>
      </c>
      <c r="I73" s="51">
        <f t="shared" si="12"/>
        <v>0</v>
      </c>
      <c r="J73" s="51">
        <f t="shared" si="12"/>
        <v>140.91175999999999</v>
      </c>
      <c r="K73" s="60">
        <f t="shared" si="12"/>
        <v>0</v>
      </c>
      <c r="L73" s="51">
        <f t="shared" si="12"/>
        <v>0</v>
      </c>
      <c r="M73" s="51">
        <f t="shared" si="12"/>
        <v>0</v>
      </c>
      <c r="N73" s="51">
        <f t="shared" si="12"/>
        <v>44.4</v>
      </c>
      <c r="O73" s="51">
        <f t="shared" si="12"/>
        <v>3458.2682399999999</v>
      </c>
      <c r="S73" s="27"/>
    </row>
    <row r="74" spans="1:19" ht="15.75" x14ac:dyDescent="0.25">
      <c r="C74" s="47" t="s">
        <v>193</v>
      </c>
      <c r="D74" s="39"/>
      <c r="E74" s="54"/>
      <c r="F74" s="55"/>
      <c r="G74" s="55"/>
      <c r="H74" s="55"/>
      <c r="I74" s="55"/>
      <c r="J74" s="55"/>
      <c r="K74" s="54"/>
      <c r="L74" s="55"/>
      <c r="M74" s="55"/>
      <c r="N74" s="55"/>
      <c r="O74" s="55"/>
      <c r="S74" s="27"/>
    </row>
    <row r="75" spans="1:19" ht="30" customHeight="1" thickBot="1" x14ac:dyDescent="0.3">
      <c r="A75" s="24" t="s">
        <v>162</v>
      </c>
      <c r="B75" s="13">
        <v>40</v>
      </c>
      <c r="C75" s="39" t="s">
        <v>70</v>
      </c>
      <c r="D75" s="39" t="s">
        <v>71</v>
      </c>
      <c r="E75" s="48">
        <v>3255.66</v>
      </c>
      <c r="F75" s="48">
        <v>0</v>
      </c>
      <c r="G75" s="48">
        <v>200</v>
      </c>
      <c r="H75" s="48">
        <f>(E75/15)*12/2</f>
        <v>1302.2639999999999</v>
      </c>
      <c r="I75" s="48">
        <v>0</v>
      </c>
      <c r="J75" s="48">
        <f>(E75-(LOOKUP(E75,ISR!$A$6:$B$17,ISR!$A$6:$A$17)))*(LOOKUP(E75,ISR!$A$6:$B$17,ISR!$D$6:$D$17))+(LOOKUP(E75,ISR!$A$6:$B$17,ISR!$C$6:$C$17))</f>
        <v>197.73543999999995</v>
      </c>
      <c r="K75" s="48">
        <v>0</v>
      </c>
      <c r="L75" s="48">
        <v>0</v>
      </c>
      <c r="M75" s="48">
        <v>0</v>
      </c>
      <c r="N75" s="48"/>
      <c r="O75" s="48">
        <f>E75+F75+G75+H75+I75-J75-K75-L75-M75-N75</f>
        <v>4560.1885599999996</v>
      </c>
      <c r="P75" s="234" t="s">
        <v>34</v>
      </c>
      <c r="Q75" s="234"/>
      <c r="R75" s="234"/>
      <c r="S75" s="216"/>
    </row>
    <row r="76" spans="1:19" ht="24.75" customHeight="1" x14ac:dyDescent="0.25">
      <c r="C76" s="39"/>
      <c r="D76" s="39"/>
      <c r="E76" s="51">
        <f t="shared" ref="E76:O76" si="13">SUM(E75:E75)</f>
        <v>3255.66</v>
      </c>
      <c r="F76" s="51">
        <f t="shared" si="13"/>
        <v>0</v>
      </c>
      <c r="G76" s="51">
        <f t="shared" si="13"/>
        <v>200</v>
      </c>
      <c r="H76" s="51">
        <f t="shared" si="13"/>
        <v>1302.2639999999999</v>
      </c>
      <c r="I76" s="51">
        <f t="shared" si="13"/>
        <v>0</v>
      </c>
      <c r="J76" s="51">
        <f t="shared" si="13"/>
        <v>197.73543999999995</v>
      </c>
      <c r="K76" s="60">
        <f t="shared" si="13"/>
        <v>0</v>
      </c>
      <c r="L76" s="51">
        <f t="shared" si="13"/>
        <v>0</v>
      </c>
      <c r="M76" s="51">
        <f t="shared" si="13"/>
        <v>0</v>
      </c>
      <c r="N76" s="51">
        <f t="shared" si="13"/>
        <v>0</v>
      </c>
      <c r="O76" s="51">
        <f t="shared" si="13"/>
        <v>4560.1885599999996</v>
      </c>
      <c r="P76" s="9"/>
      <c r="Q76" s="9"/>
      <c r="R76" s="9"/>
      <c r="S76" s="27"/>
    </row>
    <row r="77" spans="1:19" ht="21" customHeight="1" x14ac:dyDescent="0.25">
      <c r="C77" s="47" t="s">
        <v>193</v>
      </c>
      <c r="D77" s="39"/>
      <c r="E77" s="55"/>
      <c r="F77" s="55"/>
      <c r="G77" s="55"/>
      <c r="H77" s="55"/>
      <c r="I77" s="55"/>
      <c r="J77" s="55"/>
      <c r="K77" s="54"/>
      <c r="L77" s="55"/>
      <c r="M77" s="55"/>
      <c r="N77" s="55"/>
      <c r="O77" s="55"/>
      <c r="S77" s="27"/>
    </row>
    <row r="78" spans="1:19" ht="31.5" customHeight="1" x14ac:dyDescent="0.25">
      <c r="A78" s="24" t="s">
        <v>162</v>
      </c>
      <c r="B78" s="13">
        <v>41</v>
      </c>
      <c r="C78" s="39" t="s">
        <v>72</v>
      </c>
      <c r="D78" s="39" t="s">
        <v>71</v>
      </c>
      <c r="E78" s="54">
        <v>3255.66</v>
      </c>
      <c r="F78" s="54">
        <v>0</v>
      </c>
      <c r="G78" s="54">
        <v>200</v>
      </c>
      <c r="H78" s="57">
        <f>(E78/15)*11/2</f>
        <v>1193.742</v>
      </c>
      <c r="I78" s="54">
        <v>800</v>
      </c>
      <c r="J78" s="54">
        <f>(E78-(LOOKUP(E78,ISR!$A$6:$B$17,ISR!$A$6:$A$17)))*(LOOKUP(E78,ISR!$A$6:$B$17,ISR!$D$6:$D$17))+(LOOKUP(E78,ISR!$A$6:$B$17,ISR!$C$6:$C$17))</f>
        <v>197.73543999999995</v>
      </c>
      <c r="K78" s="54">
        <v>0</v>
      </c>
      <c r="L78" s="54">
        <v>0</v>
      </c>
      <c r="M78" s="54">
        <v>23.6</v>
      </c>
      <c r="N78" s="54">
        <v>58.65</v>
      </c>
      <c r="O78" s="54">
        <f>E78+F78+G78+H78+I78-J78-K78-L78-M78-N78</f>
        <v>5169.4165599999997</v>
      </c>
      <c r="P78" s="234" t="s">
        <v>34</v>
      </c>
      <c r="Q78" s="234"/>
      <c r="R78" s="234"/>
      <c r="S78" s="27"/>
    </row>
    <row r="79" spans="1:19" ht="47.25" customHeight="1" x14ac:dyDescent="0.25">
      <c r="A79" s="24" t="s">
        <v>162</v>
      </c>
      <c r="B79" s="13">
        <v>42</v>
      </c>
      <c r="C79" s="39" t="s">
        <v>92</v>
      </c>
      <c r="D79" s="39" t="s">
        <v>71</v>
      </c>
      <c r="E79" s="57">
        <v>2449.44</v>
      </c>
      <c r="F79" s="57">
        <v>0</v>
      </c>
      <c r="G79" s="57">
        <v>200</v>
      </c>
      <c r="H79" s="57">
        <f>(E79/15)*10/2</f>
        <v>816.48</v>
      </c>
      <c r="I79" s="57">
        <f>E79/15*5</f>
        <v>816.48</v>
      </c>
      <c r="J79" s="57">
        <f>(E79-(LOOKUP(E79,ISR!$A$6:$B$17,ISR!$A$6:$A$17)))*(LOOKUP(E79,ISR!$A$6:$B$17,ISR!$D$6:$D$17))+(LOOKUP(E79,ISR!$A$6:$B$17,ISR!$C$6:$C$17))</f>
        <v>140.25512000000001</v>
      </c>
      <c r="K79" s="57">
        <v>0</v>
      </c>
      <c r="L79" s="57">
        <v>0</v>
      </c>
      <c r="M79" s="57">
        <v>17.760000000000002</v>
      </c>
      <c r="N79" s="57">
        <v>43.95</v>
      </c>
      <c r="O79" s="57">
        <f>E79+F79+G79+H79+I79-J79-K79-L79-M79-N79</f>
        <v>4080.4348799999998</v>
      </c>
      <c r="P79" s="237" t="s">
        <v>34</v>
      </c>
      <c r="Q79" s="237"/>
      <c r="R79" s="237"/>
      <c r="S79" s="27"/>
    </row>
    <row r="80" spans="1:19" ht="43.5" customHeight="1" thickBot="1" x14ac:dyDescent="0.3">
      <c r="A80" s="24" t="s">
        <v>162</v>
      </c>
      <c r="B80" s="13">
        <v>43</v>
      </c>
      <c r="C80" s="39" t="s">
        <v>125</v>
      </c>
      <c r="D80" s="39" t="s">
        <v>71</v>
      </c>
      <c r="E80" s="48">
        <v>3299.94</v>
      </c>
      <c r="F80" s="49">
        <v>0</v>
      </c>
      <c r="G80" s="49">
        <v>200</v>
      </c>
      <c r="H80" s="48">
        <f>(E80/15)*10/2</f>
        <v>1099.98</v>
      </c>
      <c r="I80" s="49">
        <v>0</v>
      </c>
      <c r="J80" s="49">
        <f>(E80-(LOOKUP(E80,ISR!$A$6:$B$17,ISR!$A$6:$A$17)))*(LOOKUP(E80,ISR!$A$6:$B$17,ISR!$D$6:$D$17))+(LOOKUP(E80,ISR!$A$6:$B$17,ISR!$C$6:$C$17))</f>
        <v>202.55310399999999</v>
      </c>
      <c r="K80" s="48">
        <v>0</v>
      </c>
      <c r="L80" s="49"/>
      <c r="M80" s="49">
        <v>0</v>
      </c>
      <c r="N80" s="49">
        <v>59.55</v>
      </c>
      <c r="O80" s="48">
        <f>E80+F80+G80+H80+I80-J80-K80-L80-M80-N80</f>
        <v>4337.8168960000003</v>
      </c>
      <c r="P80" s="237" t="s">
        <v>34</v>
      </c>
      <c r="Q80" s="237"/>
      <c r="R80" s="237"/>
      <c r="S80" s="27"/>
    </row>
    <row r="81" spans="1:20" ht="24.75" customHeight="1" x14ac:dyDescent="0.25">
      <c r="C81" s="39"/>
      <c r="D81" s="39"/>
      <c r="E81" s="60">
        <f>SUM(E78:E80)</f>
        <v>9005.0400000000009</v>
      </c>
      <c r="F81" s="51"/>
      <c r="G81" s="51">
        <f t="shared" ref="G81:N81" si="14">SUM(G78:G80)</f>
        <v>600</v>
      </c>
      <c r="H81" s="51">
        <f>SUM(H78:H80)</f>
        <v>3110.2020000000002</v>
      </c>
      <c r="I81" s="51">
        <f>SUM(I78:I80)</f>
        <v>1616.48</v>
      </c>
      <c r="J81" s="51">
        <f t="shared" si="14"/>
        <v>540.54366399999992</v>
      </c>
      <c r="K81" s="60">
        <f t="shared" si="14"/>
        <v>0</v>
      </c>
      <c r="L81" s="51">
        <f t="shared" si="14"/>
        <v>0</v>
      </c>
      <c r="M81" s="51">
        <f t="shared" si="14"/>
        <v>41.36</v>
      </c>
      <c r="N81" s="51">
        <f t="shared" si="14"/>
        <v>162.14999999999998</v>
      </c>
      <c r="O81" s="51">
        <f>SUM(O78:O80)</f>
        <v>13587.668335999999</v>
      </c>
      <c r="S81" s="27"/>
    </row>
    <row r="82" spans="1:20" ht="15.75" x14ac:dyDescent="0.25">
      <c r="C82" s="47" t="s">
        <v>83</v>
      </c>
      <c r="D82" s="39"/>
      <c r="E82" s="57"/>
      <c r="F82" s="52"/>
      <c r="G82" s="52"/>
      <c r="H82" s="52"/>
      <c r="I82" s="52"/>
      <c r="J82" s="52"/>
      <c r="K82" s="57"/>
      <c r="L82" s="52"/>
      <c r="M82" s="52"/>
      <c r="N82" s="52"/>
      <c r="O82" s="52"/>
      <c r="S82" s="27"/>
    </row>
    <row r="83" spans="1:20" ht="24.75" customHeight="1" thickBot="1" x14ac:dyDescent="0.3">
      <c r="A83" s="24" t="s">
        <v>162</v>
      </c>
      <c r="B83" s="13">
        <v>44</v>
      </c>
      <c r="C83" s="39" t="s">
        <v>84</v>
      </c>
      <c r="D83" s="39" t="s">
        <v>85</v>
      </c>
      <c r="E83" s="48">
        <v>4907.5200000000004</v>
      </c>
      <c r="F83" s="49">
        <v>0</v>
      </c>
      <c r="G83" s="49">
        <v>200</v>
      </c>
      <c r="H83" s="49">
        <f>(E83/15)*13/2</f>
        <v>2126.5920000000001</v>
      </c>
      <c r="I83" s="49">
        <v>0</v>
      </c>
      <c r="J83" s="49">
        <f>(E83-(LOOKUP(E83,ISR!$A$6:$B$17,ISR!$A$6:$A$17)))*(LOOKUP(E83,ISR!$A$6:$B$17,ISR!$D$6:$D$17))+(LOOKUP(E83,ISR!$A$6:$B$17,ISR!$C$6:$C$17))</f>
        <v>377.457808</v>
      </c>
      <c r="K83" s="48">
        <v>0</v>
      </c>
      <c r="L83" s="49">
        <v>0</v>
      </c>
      <c r="M83" s="49">
        <v>35.58</v>
      </c>
      <c r="N83" s="49"/>
      <c r="O83" s="48">
        <f>E83+F83+G83+H83+I83-J83-K83-L83-M83-N83</f>
        <v>6821.0741920000009</v>
      </c>
      <c r="P83" s="234" t="s">
        <v>34</v>
      </c>
      <c r="Q83" s="234"/>
      <c r="R83" s="234"/>
      <c r="S83" s="27"/>
    </row>
    <row r="84" spans="1:20" ht="24.75" customHeight="1" x14ac:dyDescent="0.25">
      <c r="C84" s="39"/>
      <c r="D84" s="39"/>
      <c r="E84" s="60">
        <f t="shared" ref="E84:N84" si="15">SUM(E83:E83)</f>
        <v>4907.5200000000004</v>
      </c>
      <c r="F84" s="51">
        <f t="shared" si="15"/>
        <v>0</v>
      </c>
      <c r="G84" s="51">
        <f t="shared" si="15"/>
        <v>200</v>
      </c>
      <c r="H84" s="51">
        <f t="shared" si="15"/>
        <v>2126.5920000000001</v>
      </c>
      <c r="I84" s="51">
        <f t="shared" si="15"/>
        <v>0</v>
      </c>
      <c r="J84" s="51">
        <f t="shared" si="15"/>
        <v>377.457808</v>
      </c>
      <c r="K84" s="60">
        <f t="shared" si="15"/>
        <v>0</v>
      </c>
      <c r="L84" s="51">
        <f t="shared" si="15"/>
        <v>0</v>
      </c>
      <c r="M84" s="51">
        <f t="shared" si="15"/>
        <v>35.58</v>
      </c>
      <c r="N84" s="51">
        <f t="shared" si="15"/>
        <v>0</v>
      </c>
      <c r="O84" s="51">
        <f>SUM(O83:O83)</f>
        <v>6821.0741920000009</v>
      </c>
      <c r="S84" s="27"/>
    </row>
    <row r="85" spans="1:20" ht="15.75" x14ac:dyDescent="0.25">
      <c r="C85" s="47" t="s">
        <v>123</v>
      </c>
      <c r="D85" s="39"/>
      <c r="E85" s="54"/>
      <c r="F85" s="55"/>
      <c r="G85" s="55"/>
      <c r="H85" s="55"/>
      <c r="I85" s="55"/>
      <c r="J85" s="55"/>
      <c r="K85" s="54"/>
      <c r="L85" s="55"/>
      <c r="M85" s="55"/>
      <c r="N85" s="55"/>
      <c r="O85" s="55"/>
      <c r="S85" s="27"/>
    </row>
    <row r="86" spans="1:20" ht="28.5" customHeight="1" thickBot="1" x14ac:dyDescent="0.3">
      <c r="A86" s="24" t="s">
        <v>162</v>
      </c>
      <c r="B86" s="13">
        <v>45</v>
      </c>
      <c r="C86" s="39" t="s">
        <v>86</v>
      </c>
      <c r="D86" s="39" t="s">
        <v>15</v>
      </c>
      <c r="E86" s="48">
        <v>3718.98</v>
      </c>
      <c r="F86" s="49">
        <v>0</v>
      </c>
      <c r="G86" s="49">
        <v>200</v>
      </c>
      <c r="H86" s="49">
        <f>(E86/15)*13/2</f>
        <v>1611.558</v>
      </c>
      <c r="I86" s="49">
        <v>0</v>
      </c>
      <c r="J86" s="49">
        <f>(E86-(LOOKUP(E86,ISR!$A$6:$B$17,ISR!$A$6:$A$17)))*(LOOKUP(E86,ISR!$A$6:$B$17,ISR!$D$6:$D$17))+(LOOKUP(E86,ISR!$A$6:$B$17,ISR!$C$6:$C$17))</f>
        <v>248.14465599999997</v>
      </c>
      <c r="K86" s="48">
        <v>0</v>
      </c>
      <c r="L86" s="49">
        <v>0</v>
      </c>
      <c r="M86" s="49">
        <v>0</v>
      </c>
      <c r="N86" s="49">
        <v>66.739999999999995</v>
      </c>
      <c r="O86" s="48">
        <f>E86+F86+G86+H86+I86-J86-K86-L86-M86-N86</f>
        <v>5215.6533440000003</v>
      </c>
      <c r="P86" s="234" t="s">
        <v>34</v>
      </c>
      <c r="Q86" s="234"/>
      <c r="R86" s="234"/>
      <c r="S86" s="27"/>
    </row>
    <row r="87" spans="1:20" ht="24.75" customHeight="1" x14ac:dyDescent="0.25">
      <c r="C87" s="39"/>
      <c r="D87" s="39"/>
      <c r="E87" s="60">
        <f t="shared" ref="E87:O87" si="16">SUM(E86)</f>
        <v>3718.98</v>
      </c>
      <c r="F87" s="51">
        <f t="shared" si="16"/>
        <v>0</v>
      </c>
      <c r="G87" s="51">
        <f t="shared" si="16"/>
        <v>200</v>
      </c>
      <c r="H87" s="51">
        <f t="shared" si="16"/>
        <v>1611.558</v>
      </c>
      <c r="I87" s="51">
        <f t="shared" si="16"/>
        <v>0</v>
      </c>
      <c r="J87" s="51">
        <f t="shared" si="16"/>
        <v>248.14465599999997</v>
      </c>
      <c r="K87" s="60">
        <f t="shared" si="16"/>
        <v>0</v>
      </c>
      <c r="L87" s="51">
        <f t="shared" si="16"/>
        <v>0</v>
      </c>
      <c r="M87" s="51">
        <f t="shared" si="16"/>
        <v>0</v>
      </c>
      <c r="N87" s="51">
        <f t="shared" si="16"/>
        <v>66.739999999999995</v>
      </c>
      <c r="O87" s="51">
        <f t="shared" si="16"/>
        <v>5215.6533440000003</v>
      </c>
      <c r="S87" s="27"/>
    </row>
    <row r="88" spans="1:20" ht="15.75" x14ac:dyDescent="0.25">
      <c r="C88" s="47" t="s">
        <v>191</v>
      </c>
      <c r="D88" s="39"/>
      <c r="E88" s="57"/>
      <c r="F88" s="52"/>
      <c r="G88" s="52"/>
      <c r="H88" s="52"/>
      <c r="I88" s="52"/>
      <c r="J88" s="52"/>
      <c r="K88" s="57"/>
      <c r="L88" s="52"/>
      <c r="M88" s="52"/>
      <c r="N88" s="52"/>
      <c r="O88" s="52"/>
      <c r="S88" s="27"/>
    </row>
    <row r="89" spans="1:20" ht="27.75" customHeight="1" x14ac:dyDescent="0.25">
      <c r="A89" s="24" t="s">
        <v>162</v>
      </c>
      <c r="B89" s="13">
        <v>46</v>
      </c>
      <c r="C89" s="39" t="s">
        <v>57</v>
      </c>
      <c r="D89" s="39" t="s">
        <v>187</v>
      </c>
      <c r="E89" s="57">
        <v>5203.4399999999996</v>
      </c>
      <c r="F89" s="52">
        <v>0</v>
      </c>
      <c r="G89" s="52">
        <v>200</v>
      </c>
      <c r="H89" s="52">
        <f>(E89/15)*12/2</f>
        <v>2081.3759999999997</v>
      </c>
      <c r="I89" s="52">
        <f>E89/15*4</f>
        <v>1387.5839999999998</v>
      </c>
      <c r="J89" s="52">
        <f>(E89-(LOOKUP(E89,ISR!$A$6:$B$17,ISR!$A$6:$A$17)))*(LOOKUP(E89,ISR!$A$6:$B$17,ISR!$D$6:$D$17))+(LOOKUP(E89,ISR!$A$6:$B$17,ISR!$C$6:$C$17))</f>
        <v>409.6539039999999</v>
      </c>
      <c r="K89" s="57">
        <v>0</v>
      </c>
      <c r="L89" s="52">
        <v>0</v>
      </c>
      <c r="M89" s="52">
        <v>28.66</v>
      </c>
      <c r="N89" s="52">
        <v>71.25</v>
      </c>
      <c r="O89" s="57">
        <f>E89+F89+G89+H89+I89-J89-K89-L89-M89-N89</f>
        <v>8362.8360959999973</v>
      </c>
      <c r="P89" s="234" t="s">
        <v>34</v>
      </c>
      <c r="Q89" s="234"/>
      <c r="R89" s="234"/>
      <c r="S89" s="27"/>
      <c r="T89" s="12"/>
    </row>
    <row r="90" spans="1:20" ht="48" customHeight="1" thickBot="1" x14ac:dyDescent="0.3">
      <c r="A90" s="24" t="s">
        <v>162</v>
      </c>
      <c r="B90" s="13">
        <v>47</v>
      </c>
      <c r="C90" s="39" t="s">
        <v>142</v>
      </c>
      <c r="D90" s="39" t="s">
        <v>167</v>
      </c>
      <c r="E90" s="48">
        <v>3434.4</v>
      </c>
      <c r="F90" s="49">
        <v>0</v>
      </c>
      <c r="G90" s="49">
        <v>200</v>
      </c>
      <c r="H90" s="49">
        <f>(E90/15)*6/2</f>
        <v>686.88</v>
      </c>
      <c r="I90" s="49">
        <v>935</v>
      </c>
      <c r="J90" s="49">
        <f>(E90-(LOOKUP(E90,ISR!$A$6:$B$17,ISR!$A$6:$A$17)))*(LOOKUP(E90,ISR!$A$6:$B$17,ISR!$D$6:$D$17))+(LOOKUP(E90,ISR!$A$6:$B$17,ISR!$C$6:$C$17))</f>
        <v>217.18235199999998</v>
      </c>
      <c r="K90" s="48">
        <v>0</v>
      </c>
      <c r="L90" s="49">
        <v>0</v>
      </c>
      <c r="M90" s="49">
        <v>0</v>
      </c>
      <c r="N90" s="49">
        <v>47.5</v>
      </c>
      <c r="O90" s="48">
        <f>E90+F90+G90+H90+I90-J90-K90-L90-M90-N90</f>
        <v>4991.5976479999999</v>
      </c>
      <c r="P90" s="237" t="s">
        <v>34</v>
      </c>
      <c r="Q90" s="237"/>
      <c r="R90" s="237"/>
      <c r="S90" s="27"/>
    </row>
    <row r="91" spans="1:20" ht="24.75" customHeight="1" x14ac:dyDescent="0.25">
      <c r="C91" s="39"/>
      <c r="D91" s="39"/>
      <c r="E91" s="51">
        <f>SUM(E89:E90)</f>
        <v>8637.84</v>
      </c>
      <c r="F91" s="51">
        <f t="shared" ref="F91:O91" si="17">SUM(F89:F90)</f>
        <v>0</v>
      </c>
      <c r="G91" s="51">
        <f t="shared" si="17"/>
        <v>400</v>
      </c>
      <c r="H91" s="51">
        <f t="shared" si="17"/>
        <v>2768.2559999999999</v>
      </c>
      <c r="I91" s="51">
        <f t="shared" si="17"/>
        <v>2322.5839999999998</v>
      </c>
      <c r="J91" s="51">
        <f t="shared" si="17"/>
        <v>626.83625599999982</v>
      </c>
      <c r="K91" s="60">
        <f t="shared" si="17"/>
        <v>0</v>
      </c>
      <c r="L91" s="51">
        <f t="shared" si="17"/>
        <v>0</v>
      </c>
      <c r="M91" s="51">
        <f t="shared" si="17"/>
        <v>28.66</v>
      </c>
      <c r="N91" s="51">
        <f t="shared" si="17"/>
        <v>118.75</v>
      </c>
      <c r="O91" s="51">
        <f t="shared" si="17"/>
        <v>13354.433743999998</v>
      </c>
      <c r="S91" s="27"/>
    </row>
    <row r="92" spans="1:20" ht="24.75" customHeight="1" x14ac:dyDescent="0.25">
      <c r="C92" s="39"/>
      <c r="D92" s="39"/>
      <c r="E92" s="51"/>
      <c r="F92" s="51"/>
      <c r="G92" s="51"/>
      <c r="H92" s="51"/>
      <c r="I92" s="51"/>
      <c r="J92" s="51"/>
      <c r="K92" s="60"/>
      <c r="L92" s="51"/>
      <c r="M92" s="51"/>
      <c r="N92" s="51"/>
      <c r="O92" s="51"/>
      <c r="S92" s="27"/>
    </row>
    <row r="93" spans="1:20" ht="24.75" customHeight="1" thickBot="1" x14ac:dyDescent="0.3">
      <c r="C93" s="47" t="s">
        <v>87</v>
      </c>
      <c r="D93" s="39"/>
      <c r="E93" s="64">
        <f>E11+E16+E20+E28+E31+E38+E54+E63+E67+E73+E76+E81+E84+E87+E91</f>
        <v>165986.28</v>
      </c>
      <c r="F93" s="64">
        <f>F11+F16+F20+F28+F31+F38+F54+F63+F67+F73+F76+F81+F84+F87+F91</f>
        <v>0</v>
      </c>
      <c r="G93" s="64">
        <f>G11+G16+G20+G28+G31+G38+G54+G63+G67+G73+G76+G81+G84+G87+G91</f>
        <v>9400</v>
      </c>
      <c r="H93" s="64">
        <f>H11+H16+H20+H28+H31+H38+H54+H63+H67+H73+H76+H81+H84+H87+H91</f>
        <v>55000.763999999988</v>
      </c>
      <c r="I93" s="64">
        <f>+I11+I16+I20+I28+I54+I63+I73+I76+I81+I84+I87+I91+I67+I38+I31</f>
        <v>16284.155999999999</v>
      </c>
      <c r="J93" s="64">
        <f>J11+J16+J20+J28+J31+J38+J54+J63+J67+J73+J76+J81+J84+J87+J91</f>
        <v>11144.183072000002</v>
      </c>
      <c r="K93" s="64">
        <f>+K11+K16+K20+K28+K54+K63+K73+K76+K81+K84+K87+K91+K31+K67+K38</f>
        <v>0</v>
      </c>
      <c r="L93" s="64">
        <f>+L11+L16+L20+L28+L54+L63+L73+L76+L81+L84+L87+L91+L31+L38+L67</f>
        <v>229.428</v>
      </c>
      <c r="M93" s="64">
        <f>M11+M16+M20+M28+M31+M38+M54+M63+M67+M73+M76+M81+M84+M91</f>
        <v>934.91</v>
      </c>
      <c r="N93" s="64">
        <f>N11+N16+N20+N28+N31+N38+N54+N63+N67+N73+N76+N81+N87+N91</f>
        <v>2333.94</v>
      </c>
      <c r="O93" s="64">
        <f>O11+O16+O20+O28+O31+O38+O54+O63+O67+O73+O76+O81+O84+O87+O91</f>
        <v>232028.73892800001</v>
      </c>
    </row>
    <row r="94" spans="1:20" ht="24.75" customHeight="1" x14ac:dyDescent="0.25">
      <c r="C94" s="47"/>
      <c r="D94" s="39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</row>
    <row r="95" spans="1:20" ht="24.75" customHeight="1" x14ac:dyDescent="0.25">
      <c r="C95" s="47"/>
      <c r="D95" s="39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</row>
    <row r="96" spans="1:20" ht="24.75" customHeight="1" x14ac:dyDescent="0.25">
      <c r="C96" s="47"/>
      <c r="D96" s="39"/>
      <c r="E96" s="132"/>
      <c r="F96" s="132"/>
      <c r="G96" s="132"/>
      <c r="H96" s="132"/>
      <c r="I96" s="132"/>
      <c r="J96" s="132"/>
      <c r="K96" s="132"/>
      <c r="L96" s="132"/>
      <c r="M96" s="132"/>
      <c r="N96" s="132"/>
    </row>
    <row r="97" spans="3:20" ht="39.75" customHeight="1" thickBot="1" x14ac:dyDescent="0.3">
      <c r="C97" s="39"/>
      <c r="D97" s="39"/>
      <c r="E97" s="39"/>
      <c r="F97" s="55"/>
      <c r="G97" s="55"/>
      <c r="H97" s="55"/>
      <c r="I97" s="55"/>
      <c r="J97" s="55"/>
      <c r="K97" s="54"/>
      <c r="L97" s="55"/>
      <c r="M97" s="55"/>
      <c r="N97" s="55"/>
    </row>
    <row r="98" spans="3:20" ht="15" customHeight="1" thickTop="1" x14ac:dyDescent="0.25">
      <c r="C98" s="217" t="s">
        <v>236</v>
      </c>
      <c r="D98" s="44"/>
      <c r="E98" s="44"/>
      <c r="F98" s="44"/>
      <c r="G98" s="44"/>
      <c r="H98" s="44"/>
      <c r="I98" s="44"/>
      <c r="J98" s="44"/>
      <c r="K98" s="238" t="s">
        <v>235</v>
      </c>
      <c r="L98" s="238"/>
      <c r="M98" s="238"/>
      <c r="N98" s="55"/>
      <c r="O98" s="55"/>
    </row>
    <row r="99" spans="3:20" ht="15.75" x14ac:dyDescent="0.25">
      <c r="C99" s="44" t="s">
        <v>18</v>
      </c>
      <c r="D99" s="44"/>
      <c r="E99" s="44"/>
      <c r="F99" s="44"/>
      <c r="G99" s="67"/>
      <c r="H99" s="44"/>
      <c r="I99" s="44"/>
      <c r="J99" s="44"/>
      <c r="K99" s="239" t="s">
        <v>19</v>
      </c>
      <c r="L99" s="239"/>
      <c r="M99" s="239"/>
      <c r="N99" s="55"/>
      <c r="O99" s="55"/>
    </row>
    <row r="100" spans="3:20" ht="15.75" x14ac:dyDescent="0.25">
      <c r="C100" s="44"/>
      <c r="D100" s="44"/>
      <c r="E100" s="44"/>
      <c r="F100" s="51"/>
      <c r="G100" s="51"/>
      <c r="H100" s="51"/>
      <c r="I100" s="51"/>
      <c r="J100" s="51"/>
      <c r="K100" s="60"/>
      <c r="L100" s="51"/>
      <c r="M100" s="51"/>
      <c r="N100" s="55"/>
      <c r="O100" s="55"/>
    </row>
    <row r="101" spans="3:20" x14ac:dyDescent="0.25">
      <c r="F101" s="4"/>
      <c r="G101" s="4"/>
      <c r="H101" s="4"/>
      <c r="I101" s="4"/>
      <c r="J101" s="4"/>
      <c r="K101" s="18"/>
      <c r="L101" s="4"/>
      <c r="M101" s="4"/>
      <c r="N101" s="4"/>
      <c r="O101" s="4"/>
    </row>
    <row r="102" spans="3:20" x14ac:dyDescent="0.25">
      <c r="F102" s="4"/>
      <c r="G102" s="4"/>
      <c r="H102" s="4"/>
      <c r="I102" s="4"/>
      <c r="J102" s="4"/>
      <c r="K102" s="18"/>
      <c r="L102" s="4"/>
      <c r="M102" s="4"/>
      <c r="N102" s="4"/>
      <c r="O102" s="4"/>
    </row>
    <row r="103" spans="3:20" ht="33" customHeight="1" x14ac:dyDescent="0.25"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17">
        <f>E93+G93+H93+I93-J93-K93-L93-M93-N93</f>
        <v>232028.73892799995</v>
      </c>
      <c r="P103" s="232"/>
      <c r="Q103" s="232"/>
      <c r="R103" s="232"/>
    </row>
    <row r="104" spans="3:20" ht="24.95" customHeight="1" x14ac:dyDescent="0.25">
      <c r="E104" s="10"/>
      <c r="F104" s="10"/>
      <c r="G104" s="10"/>
      <c r="H104" s="10"/>
      <c r="I104" s="10"/>
      <c r="J104" s="10"/>
      <c r="K104" s="25"/>
      <c r="L104" s="10"/>
      <c r="M104" s="10"/>
      <c r="N104" s="10"/>
      <c r="O104" s="132"/>
      <c r="P104" s="10"/>
      <c r="Q104" s="10"/>
      <c r="R104" s="10"/>
      <c r="S104" s="4"/>
      <c r="T104" s="4"/>
    </row>
    <row r="106" spans="3:20" x14ac:dyDescent="0.25">
      <c r="I106" s="24"/>
      <c r="K106" s="12"/>
    </row>
    <row r="107" spans="3:20" ht="24.95" customHeight="1" x14ac:dyDescent="0.25">
      <c r="E107" s="25"/>
      <c r="F107" s="10"/>
      <c r="G107" s="10"/>
      <c r="H107" s="10"/>
      <c r="I107" s="24"/>
      <c r="K107" s="25"/>
      <c r="L107" s="10"/>
      <c r="M107" s="10"/>
      <c r="N107" s="10"/>
      <c r="O107" s="10"/>
      <c r="P107" s="10"/>
      <c r="Q107" s="10"/>
      <c r="R107" s="10"/>
      <c r="S107" s="4"/>
      <c r="T107" s="4"/>
    </row>
    <row r="108" spans="3:20" x14ac:dyDescent="0.25">
      <c r="E108" s="12"/>
      <c r="I108" s="24"/>
    </row>
    <row r="109" spans="3:20" x14ac:dyDescent="0.25">
      <c r="E109" s="12"/>
      <c r="F109" s="27"/>
      <c r="I109" s="24"/>
      <c r="K109" s="12"/>
    </row>
    <row r="110" spans="3:20" x14ac:dyDescent="0.25">
      <c r="E110" s="12"/>
      <c r="F110" s="27"/>
      <c r="I110" s="24"/>
      <c r="K110" s="98"/>
    </row>
    <row r="111" spans="3:20" x14ac:dyDescent="0.25">
      <c r="E111" s="12"/>
      <c r="F111" s="27"/>
      <c r="I111" s="24"/>
    </row>
    <row r="112" spans="3:20" x14ac:dyDescent="0.25">
      <c r="E112" s="12"/>
      <c r="I112" s="24"/>
    </row>
    <row r="113" spans="5:21" x14ac:dyDescent="0.25">
      <c r="E113" s="22"/>
      <c r="I113" s="24"/>
    </row>
    <row r="114" spans="5:21" x14ac:dyDescent="0.25">
      <c r="I114" s="24"/>
    </row>
    <row r="115" spans="5:21" x14ac:dyDescent="0.25">
      <c r="I115" s="24"/>
      <c r="K115" s="12"/>
    </row>
    <row r="118" spans="5:21" ht="24.75" customHeight="1" x14ac:dyDescent="0.25">
      <c r="E118" s="25"/>
      <c r="F118" s="10"/>
      <c r="G118" s="10"/>
      <c r="H118" s="10"/>
      <c r="I118" s="10"/>
      <c r="J118" s="10"/>
      <c r="K118" s="25"/>
      <c r="L118" s="10"/>
      <c r="M118" s="10"/>
      <c r="N118" s="10"/>
      <c r="O118" s="10"/>
      <c r="P118" s="232"/>
      <c r="Q118" s="232"/>
      <c r="R118" s="232"/>
      <c r="S118" s="27"/>
    </row>
    <row r="122" spans="5:21" ht="24.95" customHeight="1" x14ac:dyDescent="0.25">
      <c r="E122" s="25"/>
      <c r="F122" s="10"/>
      <c r="G122" s="10"/>
      <c r="H122" s="10"/>
      <c r="I122" s="10"/>
      <c r="J122" s="10"/>
      <c r="K122" s="25"/>
      <c r="L122" s="10"/>
      <c r="M122" s="10"/>
      <c r="N122" s="10"/>
      <c r="O122" s="10"/>
      <c r="P122" s="232"/>
      <c r="Q122" s="232"/>
      <c r="R122" s="232"/>
      <c r="S122" s="27"/>
    </row>
    <row r="123" spans="5:21" x14ac:dyDescent="0.25">
      <c r="S123" s="27"/>
    </row>
    <row r="124" spans="5:21" ht="24.95" customHeight="1" x14ac:dyDescent="0.25">
      <c r="E124" s="25"/>
      <c r="F124" s="10"/>
      <c r="G124" s="10"/>
      <c r="H124" s="10"/>
      <c r="I124" s="25"/>
      <c r="J124" s="10"/>
      <c r="K124" s="25"/>
      <c r="L124" s="10"/>
      <c r="M124" s="10"/>
      <c r="N124" s="10"/>
      <c r="O124" s="10"/>
      <c r="P124" s="232"/>
      <c r="Q124" s="232"/>
      <c r="R124" s="232"/>
      <c r="S124" s="27"/>
      <c r="U124" s="12"/>
    </row>
    <row r="133" spans="1:20" ht="24.95" customHeight="1" x14ac:dyDescent="0.25">
      <c r="E133" s="25"/>
      <c r="F133" s="10"/>
      <c r="G133" s="10"/>
      <c r="H133" s="10"/>
      <c r="I133" s="10"/>
      <c r="J133" s="10"/>
      <c r="K133" s="25"/>
      <c r="L133" s="10"/>
      <c r="M133" s="10"/>
      <c r="N133" s="10"/>
      <c r="O133" s="10"/>
      <c r="P133" s="232"/>
      <c r="Q133" s="232"/>
      <c r="R133" s="232"/>
      <c r="S133" s="27"/>
      <c r="T133" s="12"/>
    </row>
    <row r="135" spans="1:20" ht="24.75" customHeight="1" x14ac:dyDescent="0.25">
      <c r="E135" s="25"/>
      <c r="F135" s="10"/>
      <c r="G135" s="10"/>
      <c r="H135" s="10"/>
      <c r="I135" s="10"/>
      <c r="J135" s="10"/>
      <c r="K135" s="25"/>
      <c r="L135" s="10"/>
      <c r="M135" s="10"/>
      <c r="N135" s="10"/>
      <c r="O135" s="10"/>
      <c r="P135" s="232"/>
      <c r="Q135" s="232"/>
      <c r="R135" s="232"/>
      <c r="S135" s="27"/>
    </row>
    <row r="138" spans="1:20" ht="24.75" customHeight="1" x14ac:dyDescent="0.25">
      <c r="A138" s="33"/>
      <c r="B138" s="165"/>
      <c r="C138" s="77"/>
      <c r="D138" s="77"/>
      <c r="E138" s="102"/>
      <c r="F138" s="34"/>
      <c r="G138" s="34"/>
      <c r="H138" s="34"/>
      <c r="I138" s="34"/>
      <c r="J138" s="34"/>
      <c r="K138" s="102"/>
      <c r="L138" s="34"/>
      <c r="M138" s="34"/>
      <c r="N138" s="34"/>
      <c r="O138" s="34"/>
      <c r="P138" s="233"/>
      <c r="Q138" s="233"/>
      <c r="R138" s="233"/>
      <c r="S138" s="27"/>
    </row>
    <row r="140" spans="1:20" ht="24.95" customHeight="1" x14ac:dyDescent="0.25">
      <c r="E140" s="25"/>
      <c r="F140" s="10"/>
      <c r="G140" s="10"/>
      <c r="H140" s="10"/>
      <c r="I140" s="10"/>
      <c r="J140" s="10"/>
      <c r="K140" s="25"/>
      <c r="L140" s="10"/>
      <c r="M140" s="10"/>
      <c r="N140" s="10"/>
      <c r="O140" s="10"/>
      <c r="P140" s="232"/>
      <c r="Q140" s="232"/>
      <c r="R140" s="232"/>
      <c r="S140" s="27"/>
    </row>
  </sheetData>
  <mergeCells count="58">
    <mergeCell ref="P45:R45"/>
    <mergeCell ref="P46:R46"/>
    <mergeCell ref="P47:R47"/>
    <mergeCell ref="P44:R44"/>
    <mergeCell ref="P43:R43"/>
    <mergeCell ref="P30:R30"/>
    <mergeCell ref="P33:R33"/>
    <mergeCell ref="P34:R34"/>
    <mergeCell ref="C2:F2"/>
    <mergeCell ref="C3:E3"/>
    <mergeCell ref="P22:R22"/>
    <mergeCell ref="P23:R23"/>
    <mergeCell ref="P24:R24"/>
    <mergeCell ref="P26:R26"/>
    <mergeCell ref="P27:R27"/>
    <mergeCell ref="P19:R19"/>
    <mergeCell ref="P10:R10"/>
    <mergeCell ref="P13:R13"/>
    <mergeCell ref="P14:R14"/>
    <mergeCell ref="P15:R15"/>
    <mergeCell ref="P18:R18"/>
    <mergeCell ref="P35:R35"/>
    <mergeCell ref="P37:R37"/>
    <mergeCell ref="P118:R118"/>
    <mergeCell ref="P122:R122"/>
    <mergeCell ref="K98:M98"/>
    <mergeCell ref="K99:M99"/>
    <mergeCell ref="P103:R103"/>
    <mergeCell ref="P89:R89"/>
    <mergeCell ref="P90:R90"/>
    <mergeCell ref="P62:R62"/>
    <mergeCell ref="P72:R72"/>
    <mergeCell ref="P75:R75"/>
    <mergeCell ref="P83:R83"/>
    <mergeCell ref="P86:R86"/>
    <mergeCell ref="P52:R52"/>
    <mergeCell ref="P36:R36"/>
    <mergeCell ref="P140:R140"/>
    <mergeCell ref="P124:R124"/>
    <mergeCell ref="P78:R78"/>
    <mergeCell ref="P79:R79"/>
    <mergeCell ref="P80:R80"/>
    <mergeCell ref="C40:E40"/>
    <mergeCell ref="C69:E69"/>
    <mergeCell ref="P133:R133"/>
    <mergeCell ref="P135:R135"/>
    <mergeCell ref="P138:R138"/>
    <mergeCell ref="P65:R65"/>
    <mergeCell ref="P66:R66"/>
    <mergeCell ref="P53:R53"/>
    <mergeCell ref="P51:R51"/>
    <mergeCell ref="P61:R61"/>
    <mergeCell ref="P56:R56"/>
    <mergeCell ref="P57:R57"/>
    <mergeCell ref="P58:R58"/>
    <mergeCell ref="P60:R60"/>
    <mergeCell ref="P48:R48"/>
    <mergeCell ref="P49:R49"/>
  </mergeCells>
  <pageMargins left="0.59055118110236227" right="0" top="0.74803149606299213" bottom="0.74803149606299213" header="0.31496062992125984" footer="0.31496062992125984"/>
  <pageSetup paperSize="5" scale="55" fitToWidth="3" fitToHeight="3" orientation="landscape" r:id="rId1"/>
  <headerFooter>
    <oddFooter>&amp;CNomina Sindicato</oddFooter>
  </headerFooter>
  <ignoredErrors>
    <ignoredError sqref="H23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27"/>
  <sheetViews>
    <sheetView workbookViewId="0">
      <selection activeCell="K7" sqref="K7"/>
    </sheetView>
  </sheetViews>
  <sheetFormatPr baseColWidth="10" defaultRowHeight="15" x14ac:dyDescent="0.25"/>
  <cols>
    <col min="3" max="3" width="25.85546875" customWidth="1"/>
    <col min="4" max="4" width="23.85546875" customWidth="1"/>
    <col min="6" max="6" width="43.5703125" customWidth="1"/>
    <col min="7" max="7" width="20.7109375" customWidth="1"/>
    <col min="8" max="8" width="18.42578125" customWidth="1"/>
    <col min="9" max="9" width="32.85546875" customWidth="1"/>
  </cols>
  <sheetData>
    <row r="3" spans="3:10" ht="21" x14ac:dyDescent="0.35">
      <c r="C3" s="252" t="s">
        <v>95</v>
      </c>
      <c r="D3" s="252"/>
      <c r="E3" s="252"/>
      <c r="F3" s="252"/>
      <c r="G3" s="252"/>
      <c r="H3" s="252"/>
      <c r="I3" s="252"/>
      <c r="J3" s="112"/>
    </row>
    <row r="4" spans="3:10" ht="21" x14ac:dyDescent="0.35">
      <c r="C4" s="252" t="s">
        <v>96</v>
      </c>
      <c r="D4" s="252"/>
      <c r="E4" s="252"/>
      <c r="F4" s="252"/>
      <c r="G4" s="252"/>
      <c r="H4" s="252"/>
      <c r="I4" s="252"/>
      <c r="J4" s="112"/>
    </row>
    <row r="5" spans="3:10" ht="21" x14ac:dyDescent="0.35">
      <c r="C5" s="252" t="s">
        <v>488</v>
      </c>
      <c r="D5" s="252"/>
      <c r="E5" s="252"/>
      <c r="F5" s="252"/>
      <c r="G5" s="252"/>
      <c r="H5" s="252"/>
      <c r="I5" s="252"/>
      <c r="J5" s="112"/>
    </row>
    <row r="6" spans="3:10" ht="21" x14ac:dyDescent="0.35">
      <c r="C6" s="114"/>
      <c r="D6" s="114"/>
      <c r="E6" s="114"/>
      <c r="F6" s="114"/>
      <c r="G6" s="114"/>
      <c r="H6" s="114"/>
      <c r="I6" s="166"/>
      <c r="J6" s="112"/>
    </row>
    <row r="7" spans="3:10" ht="42" x14ac:dyDescent="0.35">
      <c r="C7" s="115" t="s">
        <v>13</v>
      </c>
      <c r="D7" s="116" t="s">
        <v>97</v>
      </c>
      <c r="E7" s="116"/>
      <c r="F7" s="115" t="s">
        <v>98</v>
      </c>
      <c r="G7" s="115" t="s">
        <v>2</v>
      </c>
      <c r="H7" s="115" t="s">
        <v>3</v>
      </c>
      <c r="I7" s="115" t="s">
        <v>100</v>
      </c>
      <c r="J7" s="112"/>
    </row>
    <row r="8" spans="3:10" ht="21" x14ac:dyDescent="0.35">
      <c r="C8" s="199"/>
      <c r="D8" s="200"/>
      <c r="E8" s="200"/>
      <c r="F8" s="199"/>
      <c r="G8" s="199"/>
      <c r="H8" s="199"/>
      <c r="I8" s="199"/>
      <c r="J8" s="112"/>
    </row>
    <row r="9" spans="3:10" ht="21" x14ac:dyDescent="0.35">
      <c r="C9" s="199"/>
      <c r="D9" s="200"/>
      <c r="E9" s="200"/>
      <c r="F9" s="199"/>
      <c r="G9" s="199"/>
      <c r="H9" s="199"/>
      <c r="I9" s="199"/>
      <c r="J9" s="112"/>
    </row>
    <row r="10" spans="3:10" ht="21" x14ac:dyDescent="0.35">
      <c r="C10" s="117"/>
      <c r="D10" s="117"/>
      <c r="E10" s="201"/>
      <c r="F10" s="117"/>
      <c r="G10" s="117"/>
      <c r="H10" s="117"/>
      <c r="I10" s="117"/>
      <c r="J10" s="112"/>
    </row>
    <row r="11" spans="3:10" ht="21" x14ac:dyDescent="0.35">
      <c r="C11" s="118" t="s">
        <v>172</v>
      </c>
      <c r="D11" s="119">
        <v>40238</v>
      </c>
      <c r="E11" s="198">
        <v>1</v>
      </c>
      <c r="F11" s="112" t="s">
        <v>474</v>
      </c>
      <c r="G11" s="112"/>
      <c r="H11" s="202">
        <v>2625</v>
      </c>
      <c r="I11" s="121"/>
      <c r="J11" s="112"/>
    </row>
    <row r="12" spans="3:10" ht="21" x14ac:dyDescent="0.35">
      <c r="C12" s="117"/>
      <c r="D12" s="117"/>
      <c r="E12" s="201"/>
      <c r="F12" s="117"/>
      <c r="G12" s="117"/>
      <c r="H12" s="117"/>
      <c r="I12" s="117"/>
      <c r="J12" s="112"/>
    </row>
    <row r="13" spans="3:10" ht="21" x14ac:dyDescent="0.35">
      <c r="C13" s="118" t="s">
        <v>172</v>
      </c>
      <c r="D13" s="119">
        <v>40179</v>
      </c>
      <c r="E13" s="198">
        <v>2</v>
      </c>
      <c r="F13" s="112" t="s">
        <v>475</v>
      </c>
      <c r="G13" s="112"/>
      <c r="H13" s="202">
        <v>2625</v>
      </c>
      <c r="I13" s="121"/>
      <c r="J13" s="112"/>
    </row>
    <row r="14" spans="3:10" ht="21" x14ac:dyDescent="0.35">
      <c r="C14" s="117"/>
      <c r="D14" s="117"/>
      <c r="E14" s="201"/>
      <c r="F14" s="117"/>
      <c r="G14" s="117"/>
      <c r="H14" s="117"/>
      <c r="I14" s="117"/>
      <c r="J14" s="112"/>
    </row>
    <row r="15" spans="3:10" ht="21" x14ac:dyDescent="0.35">
      <c r="C15" s="118" t="s">
        <v>172</v>
      </c>
      <c r="D15" s="119">
        <v>40360</v>
      </c>
      <c r="E15" s="198">
        <v>3</v>
      </c>
      <c r="F15" s="112" t="s">
        <v>476</v>
      </c>
      <c r="G15" s="112"/>
      <c r="H15" s="202">
        <v>2625</v>
      </c>
      <c r="I15" s="121"/>
      <c r="J15" s="112"/>
    </row>
    <row r="16" spans="3:10" ht="21" x14ac:dyDescent="0.35">
      <c r="C16" s="117"/>
      <c r="D16" s="117"/>
      <c r="E16" s="201"/>
      <c r="F16" s="117"/>
      <c r="G16" s="117"/>
      <c r="H16" s="117"/>
      <c r="I16" s="117"/>
      <c r="J16" s="112"/>
    </row>
    <row r="17" spans="3:10" ht="21" x14ac:dyDescent="0.35">
      <c r="C17" s="118" t="s">
        <v>172</v>
      </c>
      <c r="D17" s="119"/>
      <c r="E17" s="198">
        <v>4</v>
      </c>
      <c r="F17" s="112" t="s">
        <v>477</v>
      </c>
      <c r="G17" s="112"/>
      <c r="H17" s="202">
        <v>2625</v>
      </c>
      <c r="I17" s="121"/>
      <c r="J17" s="112"/>
    </row>
    <row r="18" spans="3:10" ht="21" x14ac:dyDescent="0.35">
      <c r="C18" s="117"/>
      <c r="D18" s="117"/>
      <c r="E18" s="201"/>
      <c r="F18" s="117"/>
      <c r="G18" s="117"/>
      <c r="H18" s="117"/>
      <c r="I18" s="117"/>
      <c r="J18" s="112"/>
    </row>
    <row r="19" spans="3:10" ht="21" x14ac:dyDescent="0.35">
      <c r="C19" s="118"/>
      <c r="D19" s="119"/>
      <c r="E19" s="198"/>
      <c r="F19" s="112"/>
      <c r="G19" s="112"/>
      <c r="H19" s="120">
        <f>SUM(H11:H18)</f>
        <v>10500</v>
      </c>
      <c r="I19" s="112"/>
      <c r="J19" s="112"/>
    </row>
    <row r="20" spans="3:10" ht="21" x14ac:dyDescent="0.35">
      <c r="C20" s="118"/>
      <c r="D20" s="112"/>
      <c r="E20" s="198"/>
      <c r="F20" s="112"/>
      <c r="G20" s="112"/>
      <c r="H20" s="203"/>
      <c r="I20" s="112"/>
      <c r="J20" s="112"/>
    </row>
    <row r="21" spans="3:10" ht="21" x14ac:dyDescent="0.35">
      <c r="C21" s="112"/>
      <c r="D21" s="112"/>
      <c r="E21" s="198"/>
      <c r="F21" s="112"/>
      <c r="G21" s="112"/>
      <c r="H21" s="203"/>
      <c r="I21" s="112"/>
      <c r="J21" s="112"/>
    </row>
    <row r="22" spans="3:10" ht="21" x14ac:dyDescent="0.35">
      <c r="C22" s="112"/>
      <c r="D22" s="112"/>
      <c r="E22" s="198"/>
      <c r="F22" s="112"/>
      <c r="G22" s="112"/>
      <c r="H22" s="203"/>
      <c r="I22" s="112"/>
      <c r="J22" s="112"/>
    </row>
    <row r="23" spans="3:10" ht="21" x14ac:dyDescent="0.35">
      <c r="C23" s="112"/>
      <c r="D23" s="112"/>
      <c r="E23" s="198"/>
      <c r="F23" s="112"/>
      <c r="G23" s="112"/>
      <c r="H23" s="112"/>
      <c r="I23" s="112"/>
      <c r="J23" s="112"/>
    </row>
    <row r="24" spans="3:10" ht="21" x14ac:dyDescent="0.35">
      <c r="C24" s="112"/>
      <c r="D24" s="112"/>
      <c r="E24" s="198"/>
      <c r="F24" s="121"/>
      <c r="G24" s="205"/>
      <c r="H24" s="121"/>
      <c r="I24" s="121"/>
      <c r="J24" s="121"/>
    </row>
    <row r="25" spans="3:10" ht="21" x14ac:dyDescent="0.35">
      <c r="C25" s="112"/>
      <c r="D25" s="112"/>
      <c r="E25" s="198"/>
      <c r="F25" s="198" t="s">
        <v>236</v>
      </c>
      <c r="G25" s="198"/>
      <c r="H25" s="257" t="s">
        <v>242</v>
      </c>
      <c r="I25" s="257"/>
      <c r="J25" s="257"/>
    </row>
    <row r="26" spans="3:10" ht="21" x14ac:dyDescent="0.35">
      <c r="C26" s="112"/>
      <c r="D26" s="112"/>
      <c r="E26" s="198"/>
      <c r="F26" s="198" t="s">
        <v>18</v>
      </c>
      <c r="G26" s="112"/>
      <c r="H26" s="258" t="s">
        <v>19</v>
      </c>
      <c r="I26" s="258"/>
      <c r="J26" s="258"/>
    </row>
    <row r="27" spans="3:10" ht="21" x14ac:dyDescent="0.35">
      <c r="C27" s="112"/>
      <c r="D27" s="112"/>
      <c r="E27" s="198"/>
      <c r="F27" s="112"/>
      <c r="G27" s="112"/>
      <c r="H27" s="112"/>
      <c r="I27" s="112"/>
      <c r="J27" s="112"/>
    </row>
  </sheetData>
  <mergeCells count="5">
    <mergeCell ref="C3:I3"/>
    <mergeCell ref="C4:I4"/>
    <mergeCell ref="C5:I5"/>
    <mergeCell ref="H25:J25"/>
    <mergeCell ref="H26:J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B198"/>
  <sheetViews>
    <sheetView zoomScale="90" zoomScaleNormal="90" workbookViewId="0">
      <pane xSplit="4" ySplit="2" topLeftCell="I3" activePane="bottomRight" state="frozen"/>
      <selection pane="topRight" activeCell="D1" sqref="D1"/>
      <selection pane="bottomLeft" activeCell="A4" sqref="A4"/>
      <selection pane="bottomRight" activeCell="O41" sqref="O41"/>
    </sheetView>
  </sheetViews>
  <sheetFormatPr baseColWidth="10" defaultColWidth="9.140625" defaultRowHeight="15" x14ac:dyDescent="0.25"/>
  <cols>
    <col min="1" max="1" width="7.140625" style="13" customWidth="1"/>
    <col min="2" max="2" width="4.85546875" style="166" customWidth="1"/>
    <col min="3" max="3" width="46.140625" customWidth="1"/>
    <col min="4" max="4" width="18.28515625" customWidth="1"/>
    <col min="5" max="5" width="15.140625" customWidth="1"/>
    <col min="6" max="6" width="12.140625" customWidth="1"/>
    <col min="7" max="7" width="13" customWidth="1"/>
    <col min="8" max="8" width="12.140625" customWidth="1"/>
    <col min="9" max="9" width="12.42578125" customWidth="1"/>
    <col min="10" max="10" width="12.7109375" customWidth="1"/>
    <col min="11" max="11" width="15.85546875" customWidth="1"/>
    <col min="12" max="12" width="12.42578125" customWidth="1"/>
    <col min="13" max="13" width="12.7109375" customWidth="1"/>
    <col min="14" max="14" width="11" customWidth="1"/>
    <col min="15" max="15" width="13.28515625" customWidth="1"/>
    <col min="16" max="16" width="13.7109375" customWidth="1"/>
    <col min="17" max="17" width="20.5703125" customWidth="1"/>
    <col min="18" max="18" width="48.85546875" customWidth="1"/>
    <col min="19" max="19" width="13.7109375" customWidth="1"/>
    <col min="20" max="20" width="12" customWidth="1"/>
    <col min="21" max="22" width="3.28515625" customWidth="1"/>
    <col min="23" max="23" width="26.28515625" customWidth="1"/>
    <col min="24" max="24" width="8.7109375" customWidth="1"/>
    <col min="25" max="25" width="39" customWidth="1"/>
    <col min="26" max="26" width="14.140625" customWidth="1"/>
    <col min="27" max="27" width="12.28515625" customWidth="1"/>
    <col min="28" max="28" width="9.5703125" customWidth="1"/>
  </cols>
  <sheetData>
    <row r="1" spans="1:28" ht="20.25" customHeight="1" x14ac:dyDescent="0.25">
      <c r="C1" s="108" t="s">
        <v>0</v>
      </c>
      <c r="D1" s="109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173"/>
    </row>
    <row r="2" spans="1:28" ht="21" customHeight="1" x14ac:dyDescent="0.3">
      <c r="C2" s="111" t="s">
        <v>514</v>
      </c>
      <c r="D2" s="109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39" t="s">
        <v>513</v>
      </c>
    </row>
    <row r="3" spans="1:28" ht="30.75" customHeight="1" x14ac:dyDescent="0.25">
      <c r="B3" s="166" t="s">
        <v>401</v>
      </c>
      <c r="C3" s="82" t="s">
        <v>1</v>
      </c>
      <c r="D3" s="82" t="s">
        <v>2</v>
      </c>
      <c r="E3" s="82" t="s">
        <v>3</v>
      </c>
      <c r="F3" s="82" t="s">
        <v>4</v>
      </c>
      <c r="G3" s="82" t="s">
        <v>5</v>
      </c>
      <c r="H3" s="82" t="s">
        <v>6</v>
      </c>
      <c r="I3" s="82" t="s">
        <v>7</v>
      </c>
      <c r="J3" s="82" t="s">
        <v>8</v>
      </c>
      <c r="K3" s="82" t="s">
        <v>9</v>
      </c>
      <c r="L3" s="82" t="s">
        <v>10</v>
      </c>
      <c r="M3" s="82" t="s">
        <v>91</v>
      </c>
      <c r="N3" s="152" t="s">
        <v>11</v>
      </c>
      <c r="O3" s="82" t="s">
        <v>117</v>
      </c>
      <c r="P3" s="82" t="s">
        <v>182</v>
      </c>
      <c r="Q3" s="82" t="s">
        <v>12</v>
      </c>
    </row>
    <row r="4" spans="1:28" x14ac:dyDescent="0.25">
      <c r="C4" s="84" t="s">
        <v>13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28" x14ac:dyDescent="0.25">
      <c r="C5" s="84" t="s">
        <v>173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</row>
    <row r="6" spans="1:28" ht="45" customHeight="1" x14ac:dyDescent="0.25">
      <c r="A6" s="13" t="s">
        <v>162</v>
      </c>
      <c r="B6" s="166">
        <v>1</v>
      </c>
      <c r="C6" s="81" t="s">
        <v>244</v>
      </c>
      <c r="D6" s="81" t="s">
        <v>14</v>
      </c>
      <c r="E6" s="85">
        <v>13068</v>
      </c>
      <c r="F6" s="86">
        <v>0</v>
      </c>
      <c r="G6" s="4">
        <f>(E6-(LOOKUP(E6,ISR!$A$6:$B$17,ISR!$A$6:$A$17)))*(LOOKUP(E6,ISR!$A$6:$B$17,ISR!$D$6:$D$17))+(LOOKUP(E6,ISR!$A$6:$B$17,ISR!$C$6:$C$17))</f>
        <v>1968.2628240000001</v>
      </c>
      <c r="H6" s="86">
        <v>252.76</v>
      </c>
      <c r="I6" s="86">
        <v>0</v>
      </c>
      <c r="J6" s="86">
        <v>0</v>
      </c>
      <c r="K6" s="86">
        <v>0</v>
      </c>
      <c r="L6" s="86">
        <v>0</v>
      </c>
      <c r="M6" s="86">
        <v>0</v>
      </c>
      <c r="N6" s="86"/>
      <c r="O6" s="85">
        <v>0</v>
      </c>
      <c r="P6" s="86">
        <v>0</v>
      </c>
      <c r="Q6" s="87">
        <f t="shared" ref="Q6:Q17" si="0">E6+F6-G6-H6-I6+J6+K6+L6+M6-P6-O6-N6</f>
        <v>10846.977176</v>
      </c>
      <c r="R6" s="234"/>
      <c r="S6" s="234"/>
      <c r="T6" s="234"/>
      <c r="U6" s="234"/>
      <c r="V6" s="4"/>
      <c r="W6" s="4"/>
      <c r="X6" s="4"/>
      <c r="Y6" s="4"/>
      <c r="Z6" s="4"/>
      <c r="AA6" s="4"/>
      <c r="AB6" s="4"/>
    </row>
    <row r="7" spans="1:28" ht="54.75" hidden="1" customHeight="1" x14ac:dyDescent="0.25">
      <c r="A7" s="13" t="s">
        <v>162</v>
      </c>
      <c r="B7" s="166">
        <v>2</v>
      </c>
      <c r="D7" s="81"/>
      <c r="E7" s="85"/>
      <c r="F7" s="86"/>
      <c r="G7" s="4"/>
      <c r="H7" s="86"/>
      <c r="I7" s="86"/>
      <c r="J7" s="86"/>
      <c r="K7" s="86"/>
      <c r="L7" s="86"/>
      <c r="M7" s="86"/>
      <c r="N7" s="86"/>
      <c r="O7" s="85"/>
      <c r="P7" s="86"/>
      <c r="Q7" s="87"/>
      <c r="R7" s="234"/>
      <c r="S7" s="234"/>
      <c r="T7" s="234"/>
      <c r="U7" s="234"/>
      <c r="W7" s="4"/>
      <c r="X7" s="4"/>
      <c r="Y7" s="4"/>
      <c r="Z7" s="4"/>
      <c r="AA7" s="4"/>
      <c r="AB7" s="4"/>
    </row>
    <row r="8" spans="1:28" ht="57.75" customHeight="1" x14ac:dyDescent="0.25">
      <c r="A8" s="13" t="s">
        <v>162</v>
      </c>
      <c r="B8" s="166">
        <v>2</v>
      </c>
      <c r="C8" s="81" t="s">
        <v>183</v>
      </c>
      <c r="D8" s="81" t="s">
        <v>149</v>
      </c>
      <c r="E8" s="85">
        <v>8929.44</v>
      </c>
      <c r="F8" s="86">
        <v>0</v>
      </c>
      <c r="G8" s="4">
        <f>(E8-(LOOKUP(E8,ISR!$A$6:$B$17,ISR!$A$6:$A$17)))*(LOOKUP(E8,ISR!$A$6:$B$17,ISR!$D$6:$D$17))+(LOOKUP(E8,ISR!$A$6:$B$17,ISR!$C$6:$C$17))</f>
        <v>1084.2664080000002</v>
      </c>
      <c r="H8" s="86">
        <v>212.54</v>
      </c>
      <c r="I8" s="86">
        <v>0</v>
      </c>
      <c r="J8" s="86">
        <v>0</v>
      </c>
      <c r="K8" s="86">
        <v>0</v>
      </c>
      <c r="L8" s="86">
        <v>0</v>
      </c>
      <c r="M8" s="86"/>
      <c r="N8" s="86"/>
      <c r="O8" s="85">
        <v>0</v>
      </c>
      <c r="P8" s="86">
        <v>0</v>
      </c>
      <c r="Q8" s="87">
        <f t="shared" si="0"/>
        <v>7632.6335920000001</v>
      </c>
      <c r="R8" s="234"/>
      <c r="S8" s="234"/>
      <c r="T8" s="234"/>
      <c r="U8" s="234"/>
      <c r="X8" s="4"/>
      <c r="Y8" s="4"/>
      <c r="Z8" s="4"/>
      <c r="AA8" s="4"/>
      <c r="AB8" s="4"/>
    </row>
    <row r="9" spans="1:28" ht="55.5" customHeight="1" x14ac:dyDescent="0.25">
      <c r="A9" s="13" t="s">
        <v>162</v>
      </c>
      <c r="B9" s="166">
        <v>3</v>
      </c>
      <c r="C9" s="81" t="s">
        <v>313</v>
      </c>
      <c r="D9" s="81" t="s">
        <v>149</v>
      </c>
      <c r="E9" s="85">
        <v>8929.44</v>
      </c>
      <c r="F9" s="86">
        <v>0</v>
      </c>
      <c r="G9" s="4">
        <f>(E9-(LOOKUP(E9,ISR!$A$6:$B$17,ISR!$A$6:$A$17)))*(LOOKUP(E9,ISR!$A$6:$B$17,ISR!$D$6:$D$17))+(LOOKUP(E9,ISR!$A$6:$B$17,ISR!$C$6:$C$17))</f>
        <v>1084.2664080000002</v>
      </c>
      <c r="H9" s="86">
        <v>212.54</v>
      </c>
      <c r="I9" s="86">
        <v>0</v>
      </c>
      <c r="J9" s="86">
        <v>0</v>
      </c>
      <c r="K9" s="86">
        <v>0</v>
      </c>
      <c r="L9" s="86">
        <v>0</v>
      </c>
      <c r="M9" s="86"/>
      <c r="N9" s="86"/>
      <c r="O9" s="85">
        <v>0</v>
      </c>
      <c r="P9" s="86">
        <v>0</v>
      </c>
      <c r="Q9" s="87">
        <f t="shared" si="0"/>
        <v>7632.6335920000001</v>
      </c>
      <c r="R9" s="234"/>
      <c r="S9" s="234"/>
      <c r="T9" s="234"/>
      <c r="U9" s="234"/>
      <c r="X9" s="4"/>
      <c r="Y9" s="4"/>
      <c r="Z9" s="4"/>
      <c r="AA9" s="4"/>
      <c r="AB9" s="4"/>
    </row>
    <row r="10" spans="1:28" ht="57" customHeight="1" x14ac:dyDescent="0.25">
      <c r="A10" s="13" t="s">
        <v>162</v>
      </c>
      <c r="B10" s="166">
        <v>4</v>
      </c>
      <c r="C10" s="81" t="s">
        <v>16</v>
      </c>
      <c r="D10" s="81" t="s">
        <v>17</v>
      </c>
      <c r="E10" s="85">
        <v>6048</v>
      </c>
      <c r="F10" s="86">
        <v>0</v>
      </c>
      <c r="G10" s="4">
        <f>(E10-(LOOKUP(E10,ISR!$A$6:$B$17,ISR!$A$6:$A$17)))*(LOOKUP(E10,ISR!$A$6:$B$17,ISR!$D$6:$D$17))+(LOOKUP(E10,ISR!$A$6:$B$17,ISR!$C$6:$C$17))</f>
        <v>530.15840000000003</v>
      </c>
      <c r="H10" s="86">
        <v>79.2</v>
      </c>
      <c r="I10" s="86">
        <v>0</v>
      </c>
      <c r="J10" s="86">
        <v>0</v>
      </c>
      <c r="K10" s="86">
        <v>0</v>
      </c>
      <c r="L10" s="86">
        <v>0</v>
      </c>
      <c r="M10" s="86">
        <v>0</v>
      </c>
      <c r="N10" s="86"/>
      <c r="O10" s="85">
        <v>0</v>
      </c>
      <c r="P10" s="86">
        <v>0</v>
      </c>
      <c r="Q10" s="87">
        <f t="shared" si="0"/>
        <v>5438.6415999999999</v>
      </c>
      <c r="R10" s="234"/>
      <c r="S10" s="234"/>
      <c r="T10" s="234"/>
      <c r="U10" s="234"/>
      <c r="W10" s="4"/>
      <c r="X10" s="4"/>
      <c r="Y10" s="4"/>
      <c r="Z10" s="4"/>
      <c r="AA10" s="4"/>
      <c r="AB10" s="4"/>
    </row>
    <row r="11" spans="1:28" ht="47.25" customHeight="1" x14ac:dyDescent="0.25">
      <c r="A11" s="13" t="s">
        <v>162</v>
      </c>
      <c r="B11" s="166">
        <v>5</v>
      </c>
      <c r="C11" s="81" t="s">
        <v>93</v>
      </c>
      <c r="D11" s="81" t="s">
        <v>17</v>
      </c>
      <c r="E11" s="85">
        <v>6048</v>
      </c>
      <c r="F11" s="86">
        <v>0</v>
      </c>
      <c r="G11" s="4">
        <f>(E11-(LOOKUP(E11,ISR!$A$6:$B$17,ISR!$A$6:$A$17)))*(LOOKUP(E11,ISR!$A$6:$B$17,ISR!$D$6:$D$17))+(LOOKUP(E11,ISR!$A$6:$B$17,ISR!$C$6:$C$17))</f>
        <v>530.15840000000003</v>
      </c>
      <c r="H11" s="86">
        <v>79.2</v>
      </c>
      <c r="I11" s="86">
        <v>0</v>
      </c>
      <c r="J11" s="86">
        <v>0</v>
      </c>
      <c r="K11" s="86">
        <v>0</v>
      </c>
      <c r="L11" s="86">
        <v>0</v>
      </c>
      <c r="M11" s="86"/>
      <c r="N11" s="86"/>
      <c r="O11" s="85"/>
      <c r="P11" s="86">
        <v>0</v>
      </c>
      <c r="Q11" s="87">
        <f t="shared" si="0"/>
        <v>5438.6415999999999</v>
      </c>
      <c r="R11" s="234"/>
      <c r="S11" s="234"/>
      <c r="T11" s="234"/>
      <c r="U11" s="234"/>
      <c r="W11" s="4"/>
      <c r="X11" s="4"/>
      <c r="Y11" s="4"/>
      <c r="Z11" s="4"/>
      <c r="AA11" s="4"/>
      <c r="AB11" s="4"/>
    </row>
    <row r="12" spans="1:28" ht="56.25" customHeight="1" x14ac:dyDescent="0.25">
      <c r="A12" s="13" t="s">
        <v>162</v>
      </c>
      <c r="B12" s="166">
        <v>6</v>
      </c>
      <c r="C12" s="81" t="s">
        <v>166</v>
      </c>
      <c r="D12" s="81" t="s">
        <v>17</v>
      </c>
      <c r="E12" s="85">
        <v>6048</v>
      </c>
      <c r="F12" s="86">
        <v>0</v>
      </c>
      <c r="G12" s="4">
        <f>(E12-(LOOKUP(E12,ISR!$A$6:$B$17,ISR!$A$6:$A$17)))*(LOOKUP(E12,ISR!$A$6:$B$17,ISR!$D$6:$D$17))+(LOOKUP(E12,ISR!$A$6:$B$17,ISR!$C$6:$C$17))</f>
        <v>530.15840000000003</v>
      </c>
      <c r="H12" s="86">
        <v>79.2</v>
      </c>
      <c r="I12" s="86">
        <v>0</v>
      </c>
      <c r="J12" s="86">
        <v>0</v>
      </c>
      <c r="K12" s="86">
        <v>0</v>
      </c>
      <c r="L12" s="86">
        <v>0</v>
      </c>
      <c r="M12" s="86"/>
      <c r="N12" s="86">
        <v>0</v>
      </c>
      <c r="O12" s="85"/>
      <c r="P12" s="86">
        <v>0</v>
      </c>
      <c r="Q12" s="87">
        <f t="shared" si="0"/>
        <v>5438.6415999999999</v>
      </c>
      <c r="R12" s="234"/>
      <c r="S12" s="234"/>
      <c r="T12" s="234"/>
      <c r="U12" s="234"/>
      <c r="W12" s="4"/>
      <c r="X12" s="4"/>
      <c r="Y12" s="4"/>
      <c r="Z12" s="4"/>
      <c r="AA12" s="4"/>
      <c r="AB12" s="4"/>
    </row>
    <row r="13" spans="1:28" ht="53.25" customHeight="1" x14ac:dyDescent="0.25">
      <c r="A13" s="13" t="s">
        <v>162</v>
      </c>
      <c r="B13" s="166">
        <v>7</v>
      </c>
      <c r="C13" s="81" t="s">
        <v>309</v>
      </c>
      <c r="D13" s="81" t="s">
        <v>17</v>
      </c>
      <c r="E13" s="85">
        <v>6048</v>
      </c>
      <c r="F13" s="86">
        <v>0</v>
      </c>
      <c r="G13" s="4">
        <f>(E13-(LOOKUP(E13,ISR!$A$6:$B$17,ISR!$A$6:$A$17)))*(LOOKUP(E13,ISR!$A$6:$B$17,ISR!$D$6:$D$17))+(LOOKUP(E13,ISR!$A$6:$B$17,ISR!$C$6:$C$17))</f>
        <v>530.15840000000003</v>
      </c>
      <c r="H13" s="86">
        <v>79.2</v>
      </c>
      <c r="I13" s="86">
        <v>0</v>
      </c>
      <c r="J13" s="86">
        <v>0</v>
      </c>
      <c r="K13" s="86">
        <v>0</v>
      </c>
      <c r="L13" s="86">
        <v>0</v>
      </c>
      <c r="M13" s="86">
        <v>0</v>
      </c>
      <c r="N13" s="86"/>
      <c r="O13" s="85">
        <v>0</v>
      </c>
      <c r="P13" s="86">
        <v>0</v>
      </c>
      <c r="Q13" s="87">
        <f t="shared" si="0"/>
        <v>5438.6415999999999</v>
      </c>
      <c r="R13" s="234"/>
      <c r="S13" s="234"/>
      <c r="T13" s="234"/>
      <c r="U13" s="234"/>
      <c r="W13" s="4"/>
      <c r="X13" s="4"/>
      <c r="Y13" s="4"/>
      <c r="Z13" s="4"/>
      <c r="AA13" s="4"/>
      <c r="AB13" s="4"/>
    </row>
    <row r="14" spans="1:28" ht="51.75" customHeight="1" x14ac:dyDescent="0.25">
      <c r="A14" s="13" t="s">
        <v>162</v>
      </c>
      <c r="B14" s="166">
        <v>8</v>
      </c>
      <c r="C14" s="81" t="s">
        <v>186</v>
      </c>
      <c r="D14" s="81" t="s">
        <v>17</v>
      </c>
      <c r="E14" s="85">
        <v>6048</v>
      </c>
      <c r="F14" s="86">
        <v>0</v>
      </c>
      <c r="G14" s="4">
        <f>(E14-(LOOKUP(E14,ISR!$A$6:$B$17,ISR!$A$6:$A$17)))*(LOOKUP(E14,ISR!$A$6:$B$17,ISR!$D$6:$D$17))+(LOOKUP(E14,ISR!$A$6:$B$17,ISR!$C$6:$C$17))</f>
        <v>530.15840000000003</v>
      </c>
      <c r="H14" s="86">
        <v>79.2</v>
      </c>
      <c r="I14" s="86">
        <v>0</v>
      </c>
      <c r="J14" s="86">
        <v>0</v>
      </c>
      <c r="K14" s="86">
        <v>0</v>
      </c>
      <c r="L14" s="86">
        <v>0</v>
      </c>
      <c r="M14" s="86">
        <v>0</v>
      </c>
      <c r="N14" s="86">
        <v>0</v>
      </c>
      <c r="O14" s="85">
        <v>0</v>
      </c>
      <c r="P14" s="86">
        <v>0</v>
      </c>
      <c r="Q14" s="87">
        <f t="shared" si="0"/>
        <v>5438.6415999999999</v>
      </c>
      <c r="R14" s="234"/>
      <c r="S14" s="234"/>
      <c r="T14" s="234"/>
      <c r="U14" s="234"/>
      <c r="V14" s="81"/>
      <c r="W14" s="4"/>
      <c r="X14" s="4"/>
      <c r="Y14" s="4"/>
      <c r="Z14" s="4"/>
      <c r="AA14" s="4"/>
      <c r="AB14" s="4"/>
    </row>
    <row r="15" spans="1:28" ht="51" customHeight="1" x14ac:dyDescent="0.25">
      <c r="A15" s="13" t="s">
        <v>162</v>
      </c>
      <c r="B15" s="166">
        <v>9</v>
      </c>
      <c r="C15" s="81" t="s">
        <v>188</v>
      </c>
      <c r="D15" s="81" t="s">
        <v>17</v>
      </c>
      <c r="E15" s="85">
        <v>6048</v>
      </c>
      <c r="F15" s="86">
        <v>0</v>
      </c>
      <c r="G15" s="4">
        <f>(E15-(LOOKUP(E15,ISR!$A$6:$B$17,ISR!$A$6:$A$17)))*(LOOKUP(E15,ISR!$A$6:$B$17,ISR!$D$6:$D$17))+(LOOKUP(E15,ISR!$A$6:$B$17,ISR!$C$6:$C$17))</f>
        <v>530.15840000000003</v>
      </c>
      <c r="H15" s="86">
        <v>79.2</v>
      </c>
      <c r="I15" s="86">
        <v>0</v>
      </c>
      <c r="J15" s="86">
        <v>0</v>
      </c>
      <c r="K15" s="86">
        <v>0</v>
      </c>
      <c r="L15" s="86">
        <v>0</v>
      </c>
      <c r="M15" s="86">
        <v>0</v>
      </c>
      <c r="N15" s="86"/>
      <c r="O15" s="85"/>
      <c r="P15" s="86">
        <v>0</v>
      </c>
      <c r="Q15" s="87">
        <f t="shared" si="0"/>
        <v>5438.6415999999999</v>
      </c>
      <c r="R15" s="234"/>
      <c r="S15" s="234"/>
      <c r="T15" s="234"/>
      <c r="U15" s="234"/>
      <c r="W15" s="4" t="s">
        <v>501</v>
      </c>
      <c r="X15" s="4"/>
      <c r="Y15" s="4"/>
      <c r="Z15" s="4"/>
      <c r="AA15" s="4"/>
      <c r="AB15" s="4"/>
    </row>
    <row r="16" spans="1:28" ht="58.5" customHeight="1" x14ac:dyDescent="0.25">
      <c r="A16" s="13" t="s">
        <v>162</v>
      </c>
      <c r="B16" s="166">
        <v>10</v>
      </c>
      <c r="C16" s="81" t="s">
        <v>184</v>
      </c>
      <c r="D16" s="81" t="s">
        <v>17</v>
      </c>
      <c r="E16" s="85">
        <v>6048</v>
      </c>
      <c r="F16" s="86">
        <v>0</v>
      </c>
      <c r="G16" s="4">
        <f>(E16-(LOOKUP(E16,ISR!$A$6:$B$17,ISR!$A$6:$A$17)))*(LOOKUP(E16,ISR!$A$6:$B$17,ISR!$D$6:$D$17))+(LOOKUP(E16,ISR!$A$6:$B$17,ISR!$C$6:$C$17))</f>
        <v>530.15840000000003</v>
      </c>
      <c r="H16" s="86">
        <v>79.2</v>
      </c>
      <c r="I16" s="86">
        <v>0</v>
      </c>
      <c r="J16" s="86">
        <v>0</v>
      </c>
      <c r="K16" s="86">
        <v>0</v>
      </c>
      <c r="L16" s="86">
        <v>0</v>
      </c>
      <c r="M16" s="86">
        <v>0</v>
      </c>
      <c r="N16" s="86"/>
      <c r="O16" s="85">
        <v>0</v>
      </c>
      <c r="P16" s="86">
        <v>0</v>
      </c>
      <c r="Q16" s="87">
        <f t="shared" si="0"/>
        <v>5438.6415999999999</v>
      </c>
      <c r="R16" s="234"/>
      <c r="S16" s="234"/>
      <c r="T16" s="234"/>
      <c r="U16" s="234"/>
      <c r="W16" s="4"/>
      <c r="X16" s="3"/>
      <c r="Y16" s="4"/>
      <c r="Z16" s="4"/>
      <c r="AA16" s="4"/>
      <c r="AB16" s="4"/>
    </row>
    <row r="17" spans="1:28" ht="57.75" customHeight="1" x14ac:dyDescent="0.25">
      <c r="A17" s="13" t="s">
        <v>162</v>
      </c>
      <c r="B17" s="166">
        <v>11</v>
      </c>
      <c r="C17" s="81" t="s">
        <v>194</v>
      </c>
      <c r="D17" s="81" t="s">
        <v>17</v>
      </c>
      <c r="E17" s="85">
        <v>6048</v>
      </c>
      <c r="F17" s="86">
        <v>0</v>
      </c>
      <c r="G17" s="4">
        <f>(E17-(LOOKUP(E17,ISR!$A$6:$B$17,ISR!$A$6:$A$17)))*(LOOKUP(E17,ISR!$A$6:$B$17,ISR!$D$6:$D$17))+(LOOKUP(E17,ISR!$A$6:$B$17,ISR!$C$6:$C$17))</f>
        <v>530.15840000000003</v>
      </c>
      <c r="H17" s="86">
        <v>79.2</v>
      </c>
      <c r="I17" s="86">
        <v>0</v>
      </c>
      <c r="J17" s="86">
        <v>0</v>
      </c>
      <c r="K17" s="86">
        <v>0</v>
      </c>
      <c r="L17" s="86">
        <v>0</v>
      </c>
      <c r="M17" s="86"/>
      <c r="N17" s="86">
        <v>0</v>
      </c>
      <c r="O17" s="85"/>
      <c r="P17" s="86">
        <v>0</v>
      </c>
      <c r="Q17" s="87">
        <f t="shared" si="0"/>
        <v>5438.6415999999999</v>
      </c>
      <c r="R17" s="234"/>
      <c r="S17" s="234"/>
      <c r="T17" s="234"/>
      <c r="U17" s="234"/>
      <c r="W17" s="4" t="s">
        <v>377</v>
      </c>
      <c r="X17" s="4"/>
      <c r="Y17" s="4"/>
      <c r="Z17" s="4"/>
      <c r="AA17" s="4"/>
      <c r="AB17" s="4"/>
    </row>
    <row r="18" spans="1:28" ht="49.5" customHeight="1" x14ac:dyDescent="0.25">
      <c r="A18" s="13" t="s">
        <v>162</v>
      </c>
      <c r="B18" s="166">
        <v>12</v>
      </c>
      <c r="C18" s="81" t="s">
        <v>473</v>
      </c>
      <c r="D18" s="81" t="s">
        <v>17</v>
      </c>
      <c r="E18" s="85">
        <v>6048</v>
      </c>
      <c r="F18" s="86">
        <v>0</v>
      </c>
      <c r="G18" s="4">
        <f>(E18-(LOOKUP(E18,ISR!$A$6:$B$17,ISR!$A$6:$A$17)))*(LOOKUP(E18,ISR!$A$6:$B$17,ISR!$D$6:$D$17))+(LOOKUP(E18,ISR!$A$6:$B$17,ISR!$C$6:$C$17))</f>
        <v>530.15840000000003</v>
      </c>
      <c r="H18" s="86">
        <v>79.2</v>
      </c>
      <c r="I18" s="86">
        <v>0</v>
      </c>
      <c r="J18" s="86">
        <v>0</v>
      </c>
      <c r="K18" s="86">
        <v>0</v>
      </c>
      <c r="L18" s="86">
        <v>0</v>
      </c>
      <c r="M18" s="86"/>
      <c r="N18" s="86"/>
      <c r="O18" s="85">
        <v>0</v>
      </c>
      <c r="P18" s="86">
        <v>0</v>
      </c>
      <c r="Q18" s="87">
        <f>E18+F18-G18-H18-I18+J18+K18+L18+M18-P18-O18-N18</f>
        <v>5438.6415999999999</v>
      </c>
      <c r="R18" s="237"/>
      <c r="S18" s="237"/>
      <c r="T18" s="237"/>
      <c r="U18" s="237"/>
      <c r="W18" s="18"/>
      <c r="X18" s="4"/>
      <c r="Y18" s="4"/>
      <c r="Z18" s="4"/>
      <c r="AA18" s="4"/>
      <c r="AB18" s="4"/>
    </row>
    <row r="19" spans="1:28" ht="50.25" customHeight="1" x14ac:dyDescent="0.25">
      <c r="A19" s="13" t="s">
        <v>162</v>
      </c>
      <c r="B19" s="166">
        <v>13</v>
      </c>
      <c r="C19" s="81" t="s">
        <v>196</v>
      </c>
      <c r="D19" s="81" t="s">
        <v>17</v>
      </c>
      <c r="E19" s="85">
        <v>6048</v>
      </c>
      <c r="F19" s="85">
        <v>0</v>
      </c>
      <c r="G19" s="18">
        <f>(E19-(LOOKUP(E19,ISR!$A$6:$B$17,ISR!$A$6:$A$17)))*(LOOKUP(E19,ISR!$A$6:$B$17,ISR!$D$6:$D$17))+(LOOKUP(E19,ISR!$A$6:$B$17,ISR!$C$6:$C$17))</f>
        <v>530.15840000000003</v>
      </c>
      <c r="H19" s="85">
        <v>79.2</v>
      </c>
      <c r="I19" s="85">
        <v>0</v>
      </c>
      <c r="J19" s="85">
        <v>0</v>
      </c>
      <c r="K19" s="85">
        <v>0</v>
      </c>
      <c r="L19" s="85">
        <v>0</v>
      </c>
      <c r="M19" s="85">
        <v>0</v>
      </c>
      <c r="N19" s="85"/>
      <c r="O19" s="85">
        <v>0</v>
      </c>
      <c r="P19" s="85">
        <v>0</v>
      </c>
      <c r="Q19" s="87">
        <f>E19+F19-G19-H19-I19+J19+K19+L19+M19-P19-O19-N19</f>
        <v>5438.6415999999999</v>
      </c>
      <c r="R19" s="74"/>
      <c r="S19" s="74"/>
      <c r="T19" s="74"/>
      <c r="U19" s="24"/>
      <c r="W19" s="18"/>
      <c r="X19" s="18"/>
      <c r="Y19" s="18"/>
      <c r="Z19" s="18"/>
      <c r="AA19" s="18"/>
      <c r="AB19" s="18"/>
    </row>
    <row r="20" spans="1:28" ht="48" customHeight="1" x14ac:dyDescent="0.25">
      <c r="A20" s="13" t="s">
        <v>283</v>
      </c>
      <c r="B20" s="166">
        <v>14</v>
      </c>
      <c r="C20" s="81" t="s">
        <v>500</v>
      </c>
      <c r="D20" s="81" t="s">
        <v>17</v>
      </c>
      <c r="E20" s="85">
        <v>6048</v>
      </c>
      <c r="F20" s="85">
        <v>0</v>
      </c>
      <c r="G20" s="182">
        <f>(E20-(LOOKUP(E20,ISR!$A$6:$B$17,ISR!$A$6:$A$17)))*(LOOKUP(E20,ISR!$A$6:$B$17,ISR!$D$6:$D$17))+(LOOKUP(E20,ISR!$A$6:$B$17,ISR!$C$6:$C$17))</f>
        <v>530.15840000000003</v>
      </c>
      <c r="H20" s="85">
        <v>79.2</v>
      </c>
      <c r="I20" s="85">
        <v>0</v>
      </c>
      <c r="J20" s="85">
        <v>0</v>
      </c>
      <c r="K20" s="85">
        <v>0</v>
      </c>
      <c r="L20" s="85">
        <v>0</v>
      </c>
      <c r="M20" s="85"/>
      <c r="N20" s="85"/>
      <c r="O20" s="85">
        <v>0</v>
      </c>
      <c r="P20" s="85">
        <v>0</v>
      </c>
      <c r="Q20" s="87">
        <f>E20+F20-G20-H20-I20+J20+K20+L20+M20-P20-O20-N20</f>
        <v>5438.6415999999999</v>
      </c>
      <c r="R20" s="74"/>
      <c r="S20" s="24"/>
      <c r="T20" s="24"/>
      <c r="U20" s="24"/>
      <c r="W20" s="18"/>
      <c r="X20" s="18"/>
      <c r="Y20" s="18"/>
      <c r="Z20" s="18"/>
      <c r="AA20" s="18"/>
      <c r="AB20" s="18"/>
    </row>
    <row r="21" spans="1:28" ht="45" customHeight="1" x14ac:dyDescent="0.25">
      <c r="A21" s="13" t="s">
        <v>162</v>
      </c>
      <c r="B21" s="166">
        <v>15</v>
      </c>
      <c r="C21" s="81" t="s">
        <v>197</v>
      </c>
      <c r="D21" s="81" t="s">
        <v>17</v>
      </c>
      <c r="E21" s="85">
        <v>6048</v>
      </c>
      <c r="F21" s="86">
        <v>0</v>
      </c>
      <c r="G21" s="4">
        <f>(E21-(LOOKUP(E21,ISR!$A$6:$B$17,ISR!$A$6:$A$17)))*(LOOKUP(E21,ISR!$A$6:$B$17,ISR!$D$6:$D$17))+(LOOKUP(E21,ISR!$A$6:$B$17,ISR!$C$6:$C$17))</f>
        <v>530.15840000000003</v>
      </c>
      <c r="H21" s="86">
        <v>79.2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/>
      <c r="O21" s="85">
        <v>0</v>
      </c>
      <c r="P21" s="86">
        <v>0</v>
      </c>
      <c r="Q21" s="87">
        <f>E21+F21-G21-H21-I21+J21+K21+L21+M21-P21-O21-N21</f>
        <v>5438.6415999999999</v>
      </c>
      <c r="R21" s="74"/>
      <c r="S21" s="24"/>
      <c r="T21" s="24"/>
      <c r="U21" s="24"/>
      <c r="W21" s="18"/>
      <c r="X21" s="18"/>
      <c r="Y21" s="18"/>
      <c r="Z21" s="18"/>
      <c r="AA21" s="18"/>
      <c r="AB21" s="18"/>
    </row>
    <row r="22" spans="1:28" ht="47.25" customHeight="1" x14ac:dyDescent="0.25">
      <c r="A22" s="13" t="s">
        <v>162</v>
      </c>
      <c r="B22" s="166">
        <v>16</v>
      </c>
      <c r="C22" s="81" t="s">
        <v>405</v>
      </c>
      <c r="D22" s="81" t="s">
        <v>17</v>
      </c>
      <c r="E22" s="85">
        <v>6048</v>
      </c>
      <c r="F22" s="86">
        <v>0</v>
      </c>
      <c r="G22" s="4">
        <f>(E22-(LOOKUP(E22,ISR!$A$6:$B$17,ISR!$A$6:$A$17)))*(LOOKUP(E22,ISR!$A$6:$B$17,ISR!$D$6:$D$17))+(LOOKUP(E22,ISR!$A$6:$B$17,ISR!$C$6:$C$17))</f>
        <v>530.15840000000003</v>
      </c>
      <c r="H22" s="86">
        <v>79.2</v>
      </c>
      <c r="I22" s="86">
        <v>0</v>
      </c>
      <c r="J22" s="86">
        <v>0</v>
      </c>
      <c r="K22" s="86">
        <v>0</v>
      </c>
      <c r="L22" s="86">
        <v>0</v>
      </c>
      <c r="M22" s="86"/>
      <c r="N22" s="86"/>
      <c r="O22" s="85">
        <v>0</v>
      </c>
      <c r="P22" s="86">
        <v>0</v>
      </c>
      <c r="Q22" s="87">
        <f>E22+F22-G22-H22-I22+J22+K22+L22+M22-P22-O22-N22</f>
        <v>5438.6415999999999</v>
      </c>
      <c r="R22" s="74"/>
      <c r="S22" s="24"/>
      <c r="T22" s="24"/>
      <c r="U22" s="24"/>
      <c r="W22" s="18"/>
      <c r="X22" s="18"/>
      <c r="Y22" s="18"/>
      <c r="Z22" s="18"/>
      <c r="AA22" s="18"/>
      <c r="AB22" s="18"/>
    </row>
    <row r="23" spans="1:28" ht="30" customHeight="1" x14ac:dyDescent="0.25">
      <c r="C23" s="108" t="s">
        <v>0</v>
      </c>
      <c r="D23" s="109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24"/>
      <c r="S23" s="24"/>
      <c r="T23" s="24"/>
      <c r="U23" s="24"/>
      <c r="W23" s="4"/>
      <c r="X23" s="4"/>
      <c r="Y23" s="4"/>
      <c r="Z23" s="4"/>
      <c r="AA23" s="4"/>
      <c r="AB23" s="4"/>
    </row>
    <row r="24" spans="1:28" ht="28.5" customHeight="1" x14ac:dyDescent="0.3">
      <c r="C24" s="111" t="s">
        <v>514</v>
      </c>
      <c r="D24" s="109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39" t="s">
        <v>513</v>
      </c>
      <c r="R24" s="24"/>
      <c r="S24" s="24"/>
      <c r="T24" s="24"/>
      <c r="U24" s="24"/>
      <c r="W24" s="4"/>
      <c r="X24" s="4"/>
      <c r="Y24" s="4"/>
      <c r="Z24" s="4"/>
      <c r="AA24" s="4"/>
      <c r="AB24" s="4"/>
    </row>
    <row r="25" spans="1:28" ht="30" customHeight="1" x14ac:dyDescent="0.25">
      <c r="C25" s="82" t="s">
        <v>1</v>
      </c>
      <c r="D25" s="82" t="s">
        <v>2</v>
      </c>
      <c r="E25" s="82" t="s">
        <v>3</v>
      </c>
      <c r="F25" s="82" t="s">
        <v>4</v>
      </c>
      <c r="G25" s="82" t="s">
        <v>5</v>
      </c>
      <c r="H25" s="82" t="s">
        <v>6</v>
      </c>
      <c r="I25" s="82" t="s">
        <v>7</v>
      </c>
      <c r="J25" s="82" t="s">
        <v>8</v>
      </c>
      <c r="K25" s="82" t="s">
        <v>9</v>
      </c>
      <c r="L25" s="82" t="s">
        <v>10</v>
      </c>
      <c r="M25" s="82" t="s">
        <v>91</v>
      </c>
      <c r="N25" s="83" t="s">
        <v>11</v>
      </c>
      <c r="O25" s="82" t="s">
        <v>117</v>
      </c>
      <c r="P25" s="82" t="s">
        <v>182</v>
      </c>
      <c r="Q25" s="82" t="s">
        <v>12</v>
      </c>
      <c r="R25" s="24"/>
      <c r="S25" s="24"/>
      <c r="T25" s="24"/>
      <c r="U25" s="24"/>
      <c r="W25" s="4"/>
      <c r="X25" s="4"/>
      <c r="Y25" s="4"/>
      <c r="Z25" s="4"/>
      <c r="AA25" s="4"/>
      <c r="AB25" s="4"/>
    </row>
    <row r="26" spans="1:28" ht="60" customHeight="1" x14ac:dyDescent="0.25">
      <c r="A26" s="13" t="s">
        <v>162</v>
      </c>
      <c r="B26" s="166">
        <v>17</v>
      </c>
      <c r="C26" s="81" t="s">
        <v>285</v>
      </c>
      <c r="D26" s="81" t="s">
        <v>17</v>
      </c>
      <c r="E26" s="85">
        <v>6048</v>
      </c>
      <c r="F26" s="86">
        <v>0</v>
      </c>
      <c r="G26" s="4">
        <f>(E26-(LOOKUP(E26,ISR!$A$6:$B$17,ISR!$A$6:$A$17)))*(LOOKUP(E26,ISR!$A$6:$B$17,ISR!$D$6:$D$17))+(LOOKUP(E26,ISR!$A$6:$B$17,ISR!$C$6:$C$17))</f>
        <v>530.15840000000003</v>
      </c>
      <c r="H26" s="86">
        <v>79.2</v>
      </c>
      <c r="I26" s="86">
        <v>0</v>
      </c>
      <c r="J26" s="86">
        <v>0</v>
      </c>
      <c r="K26" s="86">
        <v>0</v>
      </c>
      <c r="L26" s="86">
        <v>0</v>
      </c>
      <c r="M26" s="86">
        <v>0</v>
      </c>
      <c r="N26" s="86">
        <v>0</v>
      </c>
      <c r="O26" s="85">
        <v>0</v>
      </c>
      <c r="P26" s="86">
        <v>0</v>
      </c>
      <c r="Q26" s="87">
        <f>E26+F26-G26-H26-I26+J26+K26+L26+M26-P26-O49-O26-N26</f>
        <v>5438.6415999999999</v>
      </c>
      <c r="R26" s="74"/>
      <c r="S26" s="74"/>
      <c r="T26" s="74"/>
      <c r="U26" s="74"/>
      <c r="W26" s="4"/>
      <c r="X26" s="11"/>
      <c r="Y26" s="4"/>
      <c r="Z26" s="4"/>
      <c r="AA26" s="12"/>
    </row>
    <row r="27" spans="1:28" ht="62.25" customHeight="1" x14ac:dyDescent="0.3">
      <c r="A27" s="13" t="s">
        <v>162</v>
      </c>
      <c r="B27" s="166">
        <v>18</v>
      </c>
      <c r="C27" s="81" t="s">
        <v>286</v>
      </c>
      <c r="D27" s="81" t="s">
        <v>17</v>
      </c>
      <c r="E27" s="85">
        <v>6048</v>
      </c>
      <c r="F27" s="86">
        <v>0</v>
      </c>
      <c r="G27" s="4">
        <f>(E27-(LOOKUP(E27,ISR!$A$6:$B$17,ISR!$A$6:$A$17)))*(LOOKUP(E27,ISR!$A$6:$B$17,ISR!$D$6:$D$17))+(LOOKUP(E27,ISR!$A$6:$B$17,ISR!$C$6:$C$17))</f>
        <v>530.15840000000003</v>
      </c>
      <c r="H27" s="86">
        <v>79.2</v>
      </c>
      <c r="I27" s="86">
        <v>0</v>
      </c>
      <c r="J27" s="86">
        <v>0</v>
      </c>
      <c r="K27" s="86">
        <v>0</v>
      </c>
      <c r="L27" s="86">
        <v>0</v>
      </c>
      <c r="M27" s="86">
        <v>0</v>
      </c>
      <c r="N27" s="86"/>
      <c r="O27" s="85">
        <v>0</v>
      </c>
      <c r="P27" s="86">
        <v>0</v>
      </c>
      <c r="Q27" s="87">
        <f>E27+F27-G27-H27-I27+J27+K27+L27+M27-P27-O27-N27</f>
        <v>5438.6415999999999</v>
      </c>
      <c r="R27" s="74"/>
      <c r="S27" s="74"/>
      <c r="T27" s="74"/>
      <c r="U27" s="74"/>
      <c r="W27" s="107"/>
      <c r="X27" s="4"/>
      <c r="Y27" s="4"/>
      <c r="Z27" s="4"/>
    </row>
    <row r="28" spans="1:28" ht="64.5" customHeight="1" x14ac:dyDescent="0.25">
      <c r="A28" s="13" t="s">
        <v>162</v>
      </c>
      <c r="B28" s="166">
        <v>19</v>
      </c>
      <c r="C28" s="81" t="s">
        <v>284</v>
      </c>
      <c r="D28" s="81" t="s">
        <v>17</v>
      </c>
      <c r="E28" s="85">
        <v>6048</v>
      </c>
      <c r="F28" s="86">
        <v>0</v>
      </c>
      <c r="G28" s="4">
        <f>(E28-(LOOKUP(E28,ISR!$A$6:$B$17,ISR!$A$6:$A$17)))*(LOOKUP(E28,ISR!$A$6:$B$17,ISR!$D$6:$D$17))+(LOOKUP(E28,ISR!$A$6:$B$17,ISR!$C$6:$C$17))</f>
        <v>530.15840000000003</v>
      </c>
      <c r="H28" s="86">
        <v>79.2</v>
      </c>
      <c r="I28" s="86">
        <v>0</v>
      </c>
      <c r="J28" s="86">
        <v>0</v>
      </c>
      <c r="K28" s="86">
        <v>0</v>
      </c>
      <c r="L28" s="86">
        <v>0</v>
      </c>
      <c r="M28" s="86">
        <v>0</v>
      </c>
      <c r="N28" s="86"/>
      <c r="O28" s="85">
        <v>0</v>
      </c>
      <c r="P28" s="86">
        <v>0</v>
      </c>
      <c r="Q28" s="87">
        <f>E28+F28-G28-H28-I28+J28+K28+L28+M28-P28-O28-N28</f>
        <v>5438.6415999999999</v>
      </c>
      <c r="R28" s="74"/>
      <c r="S28" s="74"/>
      <c r="T28" s="74"/>
      <c r="U28" s="74"/>
      <c r="W28" s="39"/>
      <c r="X28" s="54"/>
      <c r="Y28" s="54"/>
      <c r="Z28" s="4"/>
    </row>
    <row r="29" spans="1:28" ht="63" hidden="1" customHeight="1" x14ac:dyDescent="0.25">
      <c r="C29" s="81"/>
      <c r="D29" s="81"/>
      <c r="E29" s="85"/>
      <c r="F29" s="86"/>
      <c r="G29" s="4"/>
      <c r="H29" s="86"/>
      <c r="I29" s="86"/>
      <c r="J29" s="86"/>
      <c r="K29" s="86"/>
      <c r="L29" s="86"/>
      <c r="M29" s="86"/>
      <c r="N29" s="86"/>
      <c r="O29" s="85"/>
      <c r="P29" s="86"/>
      <c r="Q29" s="87"/>
      <c r="R29" s="74"/>
      <c r="S29" s="74"/>
      <c r="T29" s="74"/>
      <c r="U29" s="74"/>
      <c r="V29" s="75"/>
      <c r="W29" s="4"/>
      <c r="X29" s="11"/>
      <c r="Y29" s="4"/>
      <c r="Z29" s="4"/>
      <c r="AA29" s="4"/>
      <c r="AB29" s="4"/>
    </row>
    <row r="30" spans="1:28" ht="63.75" customHeight="1" x14ac:dyDescent="0.25">
      <c r="A30" s="206" t="s">
        <v>163</v>
      </c>
      <c r="B30" s="166">
        <v>21</v>
      </c>
      <c r="C30" s="81" t="s">
        <v>304</v>
      </c>
      <c r="D30" s="81" t="s">
        <v>17</v>
      </c>
      <c r="E30" s="85">
        <v>6048</v>
      </c>
      <c r="F30" s="86">
        <v>0</v>
      </c>
      <c r="G30" s="4">
        <f>(E30-(LOOKUP(E30,ISR!$A$6:$B$17,ISR!$A$6:$A$17)))*(LOOKUP(E30,ISR!$A$6:$B$17,ISR!$D$6:$D$17))+(LOOKUP(E30,ISR!$A$6:$B$17,ISR!$C$6:$C$17))</f>
        <v>530.15840000000003</v>
      </c>
      <c r="H30" s="86">
        <v>79.2</v>
      </c>
      <c r="I30" s="86">
        <v>0</v>
      </c>
      <c r="J30" s="86">
        <v>0</v>
      </c>
      <c r="K30" s="86">
        <v>0</v>
      </c>
      <c r="L30" s="86">
        <v>0</v>
      </c>
      <c r="M30" s="86"/>
      <c r="N30" s="86"/>
      <c r="O30" s="85">
        <v>0</v>
      </c>
      <c r="P30" s="86">
        <v>0</v>
      </c>
      <c r="Q30" s="87">
        <f>E30+F30-G30-H30-I30+J30+K30+L30+M30-P30-O30-N30</f>
        <v>5438.6415999999999</v>
      </c>
      <c r="R30" s="74"/>
      <c r="S30" s="74"/>
      <c r="T30" s="74"/>
      <c r="U30" s="74"/>
      <c r="V30" s="4"/>
      <c r="W30" s="4"/>
      <c r="X30" s="4"/>
      <c r="Y30" s="4"/>
      <c r="Z30" s="4"/>
      <c r="AA30" s="4"/>
      <c r="AB30" s="4"/>
    </row>
    <row r="31" spans="1:28" ht="66" customHeight="1" x14ac:dyDescent="0.25">
      <c r="A31" s="13" t="s">
        <v>162</v>
      </c>
      <c r="B31" s="166">
        <v>22</v>
      </c>
      <c r="C31" s="81" t="s">
        <v>464</v>
      </c>
      <c r="D31" s="81" t="s">
        <v>17</v>
      </c>
      <c r="E31" s="85">
        <v>6048</v>
      </c>
      <c r="F31" s="86">
        <v>0</v>
      </c>
      <c r="G31" s="4">
        <f>(E31-(LOOKUP(E31,ISR!$A$6:$B$17,ISR!$A$6:$A$17)))*(LOOKUP(E31,ISR!$A$6:$B$17,ISR!$D$6:$D$17))+(LOOKUP(E31,ISR!$A$6:$B$17,ISR!$C$6:$C$17))</f>
        <v>530.15840000000003</v>
      </c>
      <c r="H31" s="86">
        <v>79.2</v>
      </c>
      <c r="I31" s="86">
        <v>0</v>
      </c>
      <c r="J31" s="86">
        <v>0</v>
      </c>
      <c r="K31" s="86">
        <v>0</v>
      </c>
      <c r="L31" s="86">
        <v>0</v>
      </c>
      <c r="M31" s="86"/>
      <c r="N31" s="86"/>
      <c r="O31" s="85">
        <v>0</v>
      </c>
      <c r="P31" s="86">
        <v>0</v>
      </c>
      <c r="Q31" s="87">
        <f>E31+F31-G31-H31-I31+J31+K31+L31+M31-P31-N31-O31</f>
        <v>5438.6415999999999</v>
      </c>
      <c r="R31" s="151"/>
      <c r="S31" s="151"/>
      <c r="T31" s="151"/>
      <c r="U31" s="24"/>
      <c r="V31" s="75"/>
      <c r="W31" s="106"/>
      <c r="X31" s="4"/>
      <c r="Y31" s="81"/>
      <c r="Z31" s="4"/>
      <c r="AA31" s="4"/>
      <c r="AB31" s="4"/>
    </row>
    <row r="32" spans="1:28" ht="63.75" customHeight="1" x14ac:dyDescent="0.25">
      <c r="A32" s="13" t="s">
        <v>162</v>
      </c>
      <c r="B32" s="166">
        <v>23</v>
      </c>
      <c r="C32" s="81" t="s">
        <v>330</v>
      </c>
      <c r="D32" s="81" t="s">
        <v>17</v>
      </c>
      <c r="E32" s="85">
        <v>6048</v>
      </c>
      <c r="F32" s="86">
        <v>0</v>
      </c>
      <c r="G32" s="4">
        <f>(E32-(LOOKUP(E32,ISR!$A$6:$B$17,ISR!$A$6:$A$17)))*(LOOKUP(E32,ISR!$A$6:$B$17,ISR!$D$6:$D$17))+(LOOKUP(E32,ISR!$A$6:$B$17,ISR!$C$6:$C$17))</f>
        <v>530.15840000000003</v>
      </c>
      <c r="H32" s="86">
        <v>79.2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/>
      <c r="O32" s="85">
        <v>0</v>
      </c>
      <c r="P32" s="86">
        <v>0</v>
      </c>
      <c r="Q32" s="87">
        <f>E32+F32-G32-H32-I32+J32+K32+L32+M32-P32-N32-O32</f>
        <v>5438.6415999999999</v>
      </c>
      <c r="R32" s="74"/>
      <c r="S32" s="24"/>
      <c r="T32" s="24"/>
      <c r="U32" s="24"/>
      <c r="V32" s="75"/>
      <c r="W32" s="106"/>
      <c r="X32" s="4"/>
      <c r="Y32" s="81"/>
      <c r="Z32" s="4"/>
      <c r="AA32" s="4"/>
      <c r="AB32" s="4"/>
    </row>
    <row r="33" spans="1:28" ht="60.75" customHeight="1" x14ac:dyDescent="0.25">
      <c r="A33" s="13" t="s">
        <v>162</v>
      </c>
      <c r="B33" s="166">
        <v>24</v>
      </c>
      <c r="C33" s="81" t="s">
        <v>333</v>
      </c>
      <c r="D33" s="81" t="s">
        <v>17</v>
      </c>
      <c r="E33" s="85">
        <v>6048</v>
      </c>
      <c r="F33" s="86">
        <v>0</v>
      </c>
      <c r="G33" s="4">
        <f>(E33-(LOOKUP(E33,ISR!$A$6:$B$17,ISR!$A$6:$A$17)))*(LOOKUP(E33,ISR!$A$6:$B$17,ISR!$D$6:$D$17))+(LOOKUP(E33,ISR!$A$6:$B$17,ISR!$C$6:$C$17))</f>
        <v>530.15840000000003</v>
      </c>
      <c r="H33" s="86">
        <v>79.2</v>
      </c>
      <c r="I33" s="86">
        <v>0</v>
      </c>
      <c r="J33" s="86">
        <v>0</v>
      </c>
      <c r="K33" s="86">
        <v>0</v>
      </c>
      <c r="L33" s="86">
        <v>0</v>
      </c>
      <c r="M33" s="86"/>
      <c r="N33" s="86"/>
      <c r="O33" s="85">
        <v>0</v>
      </c>
      <c r="P33" s="86">
        <v>0</v>
      </c>
      <c r="Q33" s="87">
        <f t="shared" ref="Q33:Q38" si="1">E33+F33-G33-H33-I33+J33+K33+L33+M33-P33-N33-O33</f>
        <v>5438.6415999999999</v>
      </c>
      <c r="R33" s="74"/>
      <c r="S33" s="24"/>
      <c r="T33" s="24"/>
      <c r="U33" s="24"/>
      <c r="V33" s="75"/>
      <c r="W33" s="106"/>
      <c r="X33" s="4"/>
      <c r="Y33" s="81"/>
      <c r="Z33" s="4"/>
      <c r="AA33" s="4"/>
      <c r="AB33" s="4"/>
    </row>
    <row r="34" spans="1:28" ht="63.75" customHeight="1" x14ac:dyDescent="0.25">
      <c r="A34" s="13" t="s">
        <v>162</v>
      </c>
      <c r="B34" s="166">
        <v>25</v>
      </c>
      <c r="C34" s="81" t="s">
        <v>334</v>
      </c>
      <c r="D34" s="81" t="s">
        <v>17</v>
      </c>
      <c r="E34" s="85">
        <v>6048</v>
      </c>
      <c r="F34" s="86">
        <v>0</v>
      </c>
      <c r="G34" s="4">
        <f>(E34-(LOOKUP(E34,ISR!$A$6:$B$17,ISR!$A$6:$A$17)))*(LOOKUP(E34,ISR!$A$6:$B$17,ISR!$D$6:$D$17))+(LOOKUP(E34,ISR!$A$6:$B$17,ISR!$C$6:$C$17))</f>
        <v>530.15840000000003</v>
      </c>
      <c r="H34" s="86">
        <v>79.2</v>
      </c>
      <c r="I34" s="86">
        <v>0</v>
      </c>
      <c r="J34" s="86">
        <v>0</v>
      </c>
      <c r="K34" s="86">
        <v>0</v>
      </c>
      <c r="L34" s="86">
        <v>0</v>
      </c>
      <c r="M34" s="86"/>
      <c r="N34" s="86"/>
      <c r="O34" s="85">
        <v>0</v>
      </c>
      <c r="P34" s="86">
        <v>0</v>
      </c>
      <c r="Q34" s="87">
        <f t="shared" si="1"/>
        <v>5438.6415999999999</v>
      </c>
      <c r="R34" s="74"/>
      <c r="S34" s="74"/>
      <c r="T34" s="74"/>
      <c r="U34" s="74"/>
      <c r="V34" s="75"/>
      <c r="W34" s="81" t="s">
        <v>336</v>
      </c>
      <c r="X34" s="4"/>
      <c r="Y34" s="81"/>
      <c r="Z34" s="4"/>
      <c r="AA34" s="4"/>
      <c r="AB34" s="4"/>
    </row>
    <row r="35" spans="1:28" ht="76.5" customHeight="1" x14ac:dyDescent="0.25">
      <c r="B35" s="166">
        <v>26</v>
      </c>
      <c r="C35" s="81" t="s">
        <v>335</v>
      </c>
      <c r="D35" s="81" t="s">
        <v>17</v>
      </c>
      <c r="E35" s="85">
        <v>6048</v>
      </c>
      <c r="F35" s="86">
        <v>0</v>
      </c>
      <c r="G35" s="4">
        <f>(E35-(LOOKUP(E35,ISR!$A$6:$B$17,ISR!$A$6:$A$17)))*(LOOKUP(E35,ISR!$A$6:$B$17,ISR!$D$6:$D$17))+(LOOKUP(E35,ISR!$A$6:$B$17,ISR!$C$6:$C$17))</f>
        <v>530.15840000000003</v>
      </c>
      <c r="H35" s="86">
        <v>79.2</v>
      </c>
      <c r="I35" s="86">
        <v>0</v>
      </c>
      <c r="J35" s="86">
        <v>0</v>
      </c>
      <c r="K35" s="86">
        <v>0</v>
      </c>
      <c r="L35" s="86">
        <v>0</v>
      </c>
      <c r="M35" s="86"/>
      <c r="N35" s="86"/>
      <c r="O35" s="85">
        <v>0</v>
      </c>
      <c r="P35" s="86">
        <v>0</v>
      </c>
      <c r="Q35" s="87">
        <f t="shared" si="1"/>
        <v>5438.6415999999999</v>
      </c>
      <c r="R35" s="74"/>
      <c r="S35" s="74"/>
      <c r="T35" s="74"/>
      <c r="U35" s="74"/>
      <c r="V35" s="75"/>
      <c r="W35" s="81" t="s">
        <v>336</v>
      </c>
      <c r="X35" s="4"/>
      <c r="Y35" s="81"/>
      <c r="Z35" s="4"/>
      <c r="AA35" s="4"/>
      <c r="AB35" s="4"/>
    </row>
    <row r="36" spans="1:28" ht="60.75" customHeight="1" x14ac:dyDescent="0.25">
      <c r="A36" s="13" t="s">
        <v>162</v>
      </c>
      <c r="B36" s="166">
        <v>27</v>
      </c>
      <c r="C36" s="81" t="s">
        <v>329</v>
      </c>
      <c r="D36" s="81" t="s">
        <v>17</v>
      </c>
      <c r="E36" s="85">
        <v>6048</v>
      </c>
      <c r="F36" s="86">
        <v>0</v>
      </c>
      <c r="G36" s="4">
        <f>(E36-(LOOKUP(E36,ISR!$A$6:$B$17,ISR!$A$6:$A$17)))*(LOOKUP(E36,ISR!$A$6:$B$17,ISR!$D$6:$D$17))+(LOOKUP(E36,ISR!$A$6:$B$17,ISR!$C$6:$C$17))</f>
        <v>530.15840000000003</v>
      </c>
      <c r="H36" s="86">
        <v>79.2</v>
      </c>
      <c r="I36" s="86">
        <v>0</v>
      </c>
      <c r="J36" s="86">
        <v>0</v>
      </c>
      <c r="K36" s="86">
        <v>0</v>
      </c>
      <c r="L36" s="86">
        <v>0</v>
      </c>
      <c r="M36" s="86"/>
      <c r="N36" s="86"/>
      <c r="O36" s="85">
        <v>0</v>
      </c>
      <c r="P36" s="86">
        <v>0</v>
      </c>
      <c r="Q36" s="87">
        <f t="shared" si="1"/>
        <v>5438.6415999999999</v>
      </c>
      <c r="R36" s="74"/>
      <c r="S36" s="24"/>
      <c r="T36" s="24"/>
      <c r="U36" s="24"/>
      <c r="V36" s="75"/>
      <c r="W36" s="81"/>
      <c r="X36" s="4"/>
      <c r="Y36" s="81"/>
      <c r="Z36" s="4"/>
      <c r="AA36" s="4"/>
      <c r="AB36" s="4"/>
    </row>
    <row r="37" spans="1:28" ht="63.75" customHeight="1" x14ac:dyDescent="0.25">
      <c r="A37" s="206" t="s">
        <v>163</v>
      </c>
      <c r="B37" s="166">
        <v>28</v>
      </c>
      <c r="C37" s="81" t="s">
        <v>361</v>
      </c>
      <c r="D37" s="81" t="s">
        <v>17</v>
      </c>
      <c r="E37" s="85">
        <v>6048</v>
      </c>
      <c r="F37" s="86">
        <v>0</v>
      </c>
      <c r="G37" s="4">
        <f>(E37-(LOOKUP(E37,ISR!$A$6:$B$17,ISR!$A$6:$A$17)))*(LOOKUP(E37,ISR!$A$6:$B$17,ISR!$D$6:$D$17))+(LOOKUP(E37,ISR!$A$6:$B$17,ISR!$C$6:$C$17))</f>
        <v>530.15840000000003</v>
      </c>
      <c r="H37" s="86">
        <v>79.2</v>
      </c>
      <c r="I37" s="86">
        <v>0</v>
      </c>
      <c r="J37" s="86">
        <v>0</v>
      </c>
      <c r="K37" s="86">
        <v>0</v>
      </c>
      <c r="L37" s="86">
        <v>0</v>
      </c>
      <c r="M37" s="86">
        <v>0</v>
      </c>
      <c r="N37" s="86"/>
      <c r="O37" s="85">
        <v>0</v>
      </c>
      <c r="P37" s="86">
        <v>0</v>
      </c>
      <c r="Q37" s="87">
        <f t="shared" si="1"/>
        <v>5438.6415999999999</v>
      </c>
      <c r="R37" s="74"/>
      <c r="S37" s="24"/>
      <c r="T37" s="24"/>
      <c r="U37" s="24"/>
      <c r="V37" s="75"/>
      <c r="W37" s="81"/>
      <c r="X37" s="4"/>
      <c r="Y37" s="81"/>
      <c r="Z37" s="4"/>
      <c r="AA37" s="4"/>
      <c r="AB37" s="4"/>
    </row>
    <row r="38" spans="1:28" ht="73.5" customHeight="1" x14ac:dyDescent="0.25">
      <c r="A38" s="13" t="s">
        <v>162</v>
      </c>
      <c r="B38" s="166">
        <v>29</v>
      </c>
      <c r="C38" s="81" t="s">
        <v>362</v>
      </c>
      <c r="D38" s="81" t="s">
        <v>17</v>
      </c>
      <c r="E38" s="85">
        <v>6048</v>
      </c>
      <c r="F38" s="86">
        <v>0</v>
      </c>
      <c r="G38" s="4">
        <f>(E38-(LOOKUP(E38,ISR!$A$6:$B$17,ISR!$A$6:$A$17)))*(LOOKUP(E38,ISR!$A$6:$B$17,ISR!$D$6:$D$17))+(LOOKUP(E38,ISR!$A$6:$B$17,ISR!$C$6:$C$17))</f>
        <v>530.15840000000003</v>
      </c>
      <c r="H38" s="86">
        <v>79.2</v>
      </c>
      <c r="I38" s="86">
        <v>0</v>
      </c>
      <c r="J38" s="86">
        <v>0</v>
      </c>
      <c r="K38" s="86">
        <v>0</v>
      </c>
      <c r="L38" s="86">
        <v>0</v>
      </c>
      <c r="M38" s="86">
        <v>0</v>
      </c>
      <c r="N38" s="86"/>
      <c r="O38" s="85">
        <v>0</v>
      </c>
      <c r="P38" s="86">
        <v>0</v>
      </c>
      <c r="Q38" s="87">
        <f t="shared" si="1"/>
        <v>5438.6415999999999</v>
      </c>
      <c r="R38" s="74"/>
      <c r="S38" s="24"/>
      <c r="T38" s="24"/>
      <c r="U38" s="24"/>
      <c r="V38" s="75"/>
      <c r="W38" s="81"/>
      <c r="X38" s="4"/>
      <c r="Y38" s="81"/>
      <c r="Z38" s="4"/>
      <c r="AA38" s="4"/>
      <c r="AB38" s="4"/>
    </row>
    <row r="39" spans="1:28" ht="35.25" customHeight="1" x14ac:dyDescent="0.25">
      <c r="C39" s="108" t="s">
        <v>0</v>
      </c>
      <c r="D39" s="109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24"/>
      <c r="S39" s="24"/>
      <c r="T39" s="24"/>
      <c r="U39" s="24"/>
      <c r="V39" s="75"/>
      <c r="W39" s="106"/>
      <c r="X39" s="4"/>
      <c r="Y39" s="81"/>
      <c r="Z39" s="4"/>
      <c r="AA39" s="4"/>
      <c r="AB39" s="4"/>
    </row>
    <row r="40" spans="1:28" ht="30.75" customHeight="1" x14ac:dyDescent="0.3">
      <c r="C40" s="111" t="s">
        <v>514</v>
      </c>
      <c r="D40" s="109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39" t="s">
        <v>513</v>
      </c>
      <c r="R40" s="24"/>
      <c r="S40" s="24"/>
      <c r="T40" s="24"/>
      <c r="U40" s="24"/>
      <c r="V40" s="75"/>
      <c r="W40" s="106"/>
      <c r="X40" s="4"/>
      <c r="Y40" s="81"/>
      <c r="Z40" s="4"/>
      <c r="AA40" s="4"/>
      <c r="AB40" s="4"/>
    </row>
    <row r="41" spans="1:28" ht="43.5" customHeight="1" x14ac:dyDescent="0.25">
      <c r="C41" s="228" t="s">
        <v>1</v>
      </c>
      <c r="D41" s="228" t="s">
        <v>2</v>
      </c>
      <c r="E41" s="228" t="s">
        <v>3</v>
      </c>
      <c r="F41" s="228" t="s">
        <v>4</v>
      </c>
      <c r="G41" s="228" t="s">
        <v>5</v>
      </c>
      <c r="H41" s="228" t="s">
        <v>6</v>
      </c>
      <c r="I41" s="228" t="s">
        <v>7</v>
      </c>
      <c r="J41" s="228" t="s">
        <v>8</v>
      </c>
      <c r="K41" s="228" t="s">
        <v>9</v>
      </c>
      <c r="L41" s="228" t="s">
        <v>10</v>
      </c>
      <c r="M41" s="228" t="s">
        <v>91</v>
      </c>
      <c r="N41" s="229" t="s">
        <v>11</v>
      </c>
      <c r="O41" s="228" t="s">
        <v>117</v>
      </c>
      <c r="P41" s="228" t="s">
        <v>182</v>
      </c>
      <c r="Q41" s="228" t="s">
        <v>12</v>
      </c>
      <c r="R41" s="24"/>
      <c r="S41" s="24"/>
      <c r="T41" s="24"/>
      <c r="U41" s="24"/>
      <c r="V41" s="75"/>
      <c r="W41" s="106"/>
      <c r="X41" s="4"/>
      <c r="Y41" s="81"/>
      <c r="Z41" s="4"/>
      <c r="AA41" s="4"/>
      <c r="AB41" s="4"/>
    </row>
    <row r="42" spans="1:28" ht="55.5" customHeight="1" x14ac:dyDescent="0.25">
      <c r="A42" s="13" t="s">
        <v>162</v>
      </c>
      <c r="B42" s="166">
        <v>30</v>
      </c>
      <c r="C42" s="81" t="s">
        <v>363</v>
      </c>
      <c r="D42" s="81" t="s">
        <v>17</v>
      </c>
      <c r="E42" s="85">
        <v>6048</v>
      </c>
      <c r="F42" s="86">
        <v>0</v>
      </c>
      <c r="G42" s="4">
        <f>(E42-(LOOKUP(E42,ISR!$A$6:$B$17,ISR!$A$6:$A$17)))*(LOOKUP(E42,ISR!$A$6:$B$17,ISR!$D$6:$D$17))+(LOOKUP(E42,ISR!$A$6:$B$17,ISR!$C$6:$C$17))</f>
        <v>530.15840000000003</v>
      </c>
      <c r="H42" s="86">
        <v>79.2</v>
      </c>
      <c r="I42" s="86">
        <v>0</v>
      </c>
      <c r="J42" s="86">
        <v>0</v>
      </c>
      <c r="K42" s="86">
        <v>0</v>
      </c>
      <c r="L42" s="86">
        <v>0</v>
      </c>
      <c r="M42" s="86"/>
      <c r="N42" s="86"/>
      <c r="O42" s="85">
        <v>0</v>
      </c>
      <c r="P42" s="86">
        <v>0</v>
      </c>
      <c r="Q42" s="87">
        <f t="shared" ref="Q42:Q48" si="2">E42+F42-G42-H42-I42+J42+K42+L42+M42-P42-N42-O42</f>
        <v>5438.6415999999999</v>
      </c>
      <c r="R42" s="74"/>
      <c r="S42" s="74"/>
      <c r="T42" s="74"/>
      <c r="U42" s="74"/>
      <c r="V42" s="75"/>
      <c r="W42" s="4"/>
      <c r="X42" s="11"/>
      <c r="Y42" s="4"/>
      <c r="Z42" s="11"/>
      <c r="AA42" s="4"/>
      <c r="AB42" s="4"/>
    </row>
    <row r="43" spans="1:28" ht="70.5" customHeight="1" x14ac:dyDescent="0.25">
      <c r="A43" s="206" t="s">
        <v>163</v>
      </c>
      <c r="B43" s="166">
        <v>31</v>
      </c>
      <c r="C43" s="81" t="s">
        <v>364</v>
      </c>
      <c r="D43" s="81" t="s">
        <v>17</v>
      </c>
      <c r="E43" s="85">
        <v>6048</v>
      </c>
      <c r="F43" s="85">
        <v>0</v>
      </c>
      <c r="G43" s="18">
        <f>(E43-(LOOKUP(E43,ISR!$A$6:$B$17,ISR!$A$6:$A$17)))*(LOOKUP(E43,ISR!$A$6:$B$17,ISR!$D$6:$D$17))+(LOOKUP(E43,ISR!$A$6:$B$17,ISR!$C$6:$C$17))</f>
        <v>530.15840000000003</v>
      </c>
      <c r="H43" s="85">
        <v>79.2</v>
      </c>
      <c r="I43" s="85">
        <v>0</v>
      </c>
      <c r="J43" s="85">
        <v>0</v>
      </c>
      <c r="K43" s="85">
        <v>0</v>
      </c>
      <c r="L43" s="85">
        <v>0</v>
      </c>
      <c r="M43" s="85">
        <v>0</v>
      </c>
      <c r="N43" s="85"/>
      <c r="O43" s="85">
        <v>0</v>
      </c>
      <c r="P43" s="85">
        <v>0</v>
      </c>
      <c r="Q43" s="87">
        <f t="shared" si="2"/>
        <v>5438.6415999999999</v>
      </c>
      <c r="R43" s="74"/>
      <c r="S43" s="74"/>
      <c r="T43" s="74"/>
      <c r="U43" s="74"/>
      <c r="V43" s="75"/>
      <c r="W43" s="18"/>
      <c r="X43" s="36"/>
      <c r="Y43" s="18"/>
      <c r="Z43" s="36"/>
      <c r="AA43" s="18"/>
      <c r="AB43" s="18"/>
    </row>
    <row r="44" spans="1:28" ht="73.5" customHeight="1" x14ac:dyDescent="0.25">
      <c r="A44" s="206" t="s">
        <v>163</v>
      </c>
      <c r="B44" s="166">
        <v>32</v>
      </c>
      <c r="C44" s="81" t="s">
        <v>365</v>
      </c>
      <c r="D44" s="81" t="s">
        <v>17</v>
      </c>
      <c r="E44" s="85">
        <v>6048</v>
      </c>
      <c r="F44" s="85">
        <v>0</v>
      </c>
      <c r="G44" s="18">
        <f>(E44-(LOOKUP(E44,ISR!$A$6:$B$17,ISR!$A$6:$A$17)))*(LOOKUP(E44,ISR!$A$6:$B$17,ISR!$D$6:$D$17))+(LOOKUP(E44,ISR!$A$6:$B$17,ISR!$C$6:$C$17))</f>
        <v>530.15840000000003</v>
      </c>
      <c r="H44" s="85">
        <v>79.2</v>
      </c>
      <c r="I44" s="85">
        <v>0</v>
      </c>
      <c r="J44" s="85">
        <v>0</v>
      </c>
      <c r="K44" s="85">
        <v>0</v>
      </c>
      <c r="L44" s="85">
        <v>0</v>
      </c>
      <c r="M44" s="85">
        <v>0</v>
      </c>
      <c r="N44" s="85"/>
      <c r="O44" s="85">
        <v>0</v>
      </c>
      <c r="P44" s="85">
        <v>0</v>
      </c>
      <c r="Q44" s="87">
        <f t="shared" si="2"/>
        <v>5438.6415999999999</v>
      </c>
      <c r="R44" s="74"/>
      <c r="S44" s="74"/>
      <c r="T44" s="74"/>
      <c r="U44" s="74"/>
      <c r="V44" s="75"/>
      <c r="W44" s="18"/>
      <c r="X44" s="36"/>
      <c r="Y44" s="18"/>
      <c r="Z44" s="36"/>
      <c r="AA44" s="18"/>
      <c r="AB44" s="18"/>
    </row>
    <row r="45" spans="1:28" ht="77.25" customHeight="1" x14ac:dyDescent="0.25">
      <c r="A45" s="13" t="s">
        <v>162</v>
      </c>
      <c r="B45" s="166">
        <v>33</v>
      </c>
      <c r="C45" s="81" t="s">
        <v>385</v>
      </c>
      <c r="D45" s="81" t="s">
        <v>17</v>
      </c>
      <c r="E45" s="85">
        <v>6048</v>
      </c>
      <c r="F45" s="86">
        <v>0</v>
      </c>
      <c r="G45" s="4">
        <f>(E45-(LOOKUP(E45,ISR!$A$6:$B$17,ISR!$A$6:$A$17)))*(LOOKUP(E45,ISR!$A$6:$B$17,ISR!$D$6:$D$17))+(LOOKUP(E45,ISR!$A$6:$B$17,ISR!$C$6:$C$17))</f>
        <v>530.15840000000003</v>
      </c>
      <c r="H45" s="86">
        <v>79.2</v>
      </c>
      <c r="I45" s="86">
        <v>0</v>
      </c>
      <c r="J45" s="86">
        <v>0</v>
      </c>
      <c r="K45" s="86">
        <v>0</v>
      </c>
      <c r="L45" s="86">
        <v>0</v>
      </c>
      <c r="M45" s="86"/>
      <c r="N45" s="86"/>
      <c r="O45" s="85">
        <v>0</v>
      </c>
      <c r="P45" s="86">
        <v>0</v>
      </c>
      <c r="Q45" s="87">
        <f t="shared" si="2"/>
        <v>5438.6415999999999</v>
      </c>
      <c r="R45" s="74"/>
      <c r="S45" s="74"/>
      <c r="T45" s="74"/>
      <c r="U45" s="74"/>
      <c r="V45" s="75"/>
      <c r="W45" s="4"/>
      <c r="X45" s="11"/>
      <c r="Y45" s="4"/>
      <c r="Z45" s="11"/>
      <c r="AA45" s="4"/>
      <c r="AB45" s="4"/>
    </row>
    <row r="46" spans="1:28" s="5" customFormat="1" ht="64.5" customHeight="1" x14ac:dyDescent="0.25">
      <c r="A46" s="206" t="s">
        <v>283</v>
      </c>
      <c r="B46" s="166">
        <v>34</v>
      </c>
      <c r="C46" s="81" t="s">
        <v>386</v>
      </c>
      <c r="D46" s="81" t="s">
        <v>17</v>
      </c>
      <c r="E46" s="170">
        <v>6048</v>
      </c>
      <c r="F46" s="170">
        <v>0</v>
      </c>
      <c r="G46" s="25">
        <f>(E46-(LOOKUP(E46,ISR!$A$6:$B$17,ISR!$A$6:$A$17)))*(LOOKUP(E46,ISR!$A$6:$B$17,ISR!$D$6:$D$17))+(LOOKUP(E46,ISR!$A$6:$B$17,ISR!$C$6:$C$17))</f>
        <v>530.15840000000003</v>
      </c>
      <c r="H46" s="170">
        <v>79.2</v>
      </c>
      <c r="I46" s="170">
        <v>0</v>
      </c>
      <c r="J46" s="170">
        <v>0</v>
      </c>
      <c r="K46" s="170">
        <v>0</v>
      </c>
      <c r="L46" s="170">
        <v>0</v>
      </c>
      <c r="M46" s="170"/>
      <c r="N46" s="170">
        <v>0</v>
      </c>
      <c r="O46" s="170"/>
      <c r="P46" s="170">
        <v>0</v>
      </c>
      <c r="Q46" s="171">
        <f t="shared" si="2"/>
        <v>5438.6415999999999</v>
      </c>
      <c r="R46" s="74"/>
      <c r="S46" s="74"/>
      <c r="T46" s="74"/>
      <c r="U46" s="74"/>
      <c r="V46" s="162"/>
      <c r="W46" s="35"/>
      <c r="X46" s="157"/>
      <c r="Y46" s="35"/>
      <c r="Z46" s="157"/>
      <c r="AA46" s="35"/>
      <c r="AB46" s="35"/>
    </row>
    <row r="47" spans="1:28" ht="62.25" customHeight="1" x14ac:dyDescent="0.25">
      <c r="A47" s="13" t="s">
        <v>162</v>
      </c>
      <c r="B47" s="166">
        <v>35</v>
      </c>
      <c r="C47" s="81" t="s">
        <v>387</v>
      </c>
      <c r="D47" s="81" t="s">
        <v>17</v>
      </c>
      <c r="E47" s="85">
        <v>6048</v>
      </c>
      <c r="F47" s="86">
        <v>0</v>
      </c>
      <c r="G47" s="4">
        <f>(E47-(LOOKUP(E47,ISR!$A$6:$B$17,ISR!$A$6:$A$17)))*(LOOKUP(E47,ISR!$A$6:$B$17,ISR!$D$6:$D$17))+(LOOKUP(E47,ISR!$A$6:$B$17,ISR!$C$6:$C$17))</f>
        <v>530.15840000000003</v>
      </c>
      <c r="H47" s="86">
        <v>79.2</v>
      </c>
      <c r="I47" s="86">
        <v>0</v>
      </c>
      <c r="J47" s="86">
        <v>0</v>
      </c>
      <c r="K47" s="86">
        <v>0</v>
      </c>
      <c r="L47" s="86">
        <v>0</v>
      </c>
      <c r="M47" s="86"/>
      <c r="N47" s="86"/>
      <c r="O47" s="85">
        <v>0</v>
      </c>
      <c r="P47" s="86">
        <v>0</v>
      </c>
      <c r="Q47" s="87">
        <f t="shared" si="2"/>
        <v>5438.6415999999999</v>
      </c>
      <c r="R47" s="74"/>
      <c r="S47" s="74"/>
      <c r="T47" s="74"/>
      <c r="U47" s="74"/>
      <c r="V47" s="75"/>
      <c r="W47" s="4"/>
      <c r="X47" s="11"/>
      <c r="Y47" s="4"/>
      <c r="Z47" s="11"/>
      <c r="AA47" s="4"/>
      <c r="AB47" s="4"/>
    </row>
    <row r="48" spans="1:28" ht="55.5" customHeight="1" x14ac:dyDescent="0.25">
      <c r="A48" s="13" t="s">
        <v>162</v>
      </c>
      <c r="B48" s="166">
        <v>36</v>
      </c>
      <c r="C48" s="81" t="s">
        <v>494</v>
      </c>
      <c r="D48" s="81" t="s">
        <v>17</v>
      </c>
      <c r="E48" s="85">
        <v>6048</v>
      </c>
      <c r="F48" s="86">
        <v>0</v>
      </c>
      <c r="G48" s="4">
        <f>(E48-(LOOKUP(E48,ISR!$A$6:$B$17,ISR!$A$6:$A$17)))*(LOOKUP(E48,ISR!$A$6:$B$17,ISR!$D$6:$D$17))+(LOOKUP(E48,ISR!$A$6:$B$17,ISR!$C$6:$C$17))</f>
        <v>530.15840000000003</v>
      </c>
      <c r="H48" s="86">
        <v>79.2</v>
      </c>
      <c r="I48" s="86">
        <v>0</v>
      </c>
      <c r="J48" s="86">
        <v>0</v>
      </c>
      <c r="K48" s="86">
        <v>0</v>
      </c>
      <c r="L48" s="86">
        <v>0</v>
      </c>
      <c r="M48" s="86">
        <v>0</v>
      </c>
      <c r="N48" s="86"/>
      <c r="O48" s="85">
        <v>0</v>
      </c>
      <c r="P48" s="86">
        <v>0</v>
      </c>
      <c r="Q48" s="87">
        <f t="shared" si="2"/>
        <v>5438.6415999999999</v>
      </c>
      <c r="R48" s="74"/>
      <c r="S48" s="74"/>
      <c r="T48" s="74"/>
      <c r="U48" s="74"/>
      <c r="V48" s="75"/>
      <c r="W48" s="4"/>
      <c r="X48" s="11"/>
      <c r="Y48" s="4"/>
      <c r="Z48" s="11"/>
      <c r="AA48" s="4"/>
      <c r="AB48" s="4"/>
    </row>
    <row r="49" spans="3:28" ht="13.5" customHeight="1" x14ac:dyDescent="0.25">
      <c r="C49" s="81"/>
      <c r="D49" s="81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5">
        <v>0</v>
      </c>
      <c r="P49" s="86"/>
      <c r="Q49" s="86"/>
      <c r="R49" s="24"/>
      <c r="W49" s="4"/>
      <c r="X49" s="4"/>
      <c r="Y49" s="4"/>
      <c r="Z49" s="4"/>
      <c r="AA49" s="4"/>
      <c r="AB49" s="4"/>
    </row>
    <row r="50" spans="3:28" ht="24.75" customHeight="1" thickBot="1" x14ac:dyDescent="0.3">
      <c r="C50" s="81"/>
      <c r="D50" s="81"/>
      <c r="E50" s="88">
        <f>SUM(E6:E49)</f>
        <v>224462.88</v>
      </c>
      <c r="F50" s="88">
        <f t="shared" ref="F50:N50" si="3">SUM(F6:F49)</f>
        <v>0</v>
      </c>
      <c r="G50" s="88">
        <f>SUM(G6:G49)</f>
        <v>21101.864440000008</v>
      </c>
      <c r="H50" s="88">
        <f t="shared" si="3"/>
        <v>3212.239999999998</v>
      </c>
      <c r="I50" s="88">
        <f t="shared" si="3"/>
        <v>0</v>
      </c>
      <c r="J50" s="88">
        <f t="shared" si="3"/>
        <v>0</v>
      </c>
      <c r="K50" s="88">
        <f t="shared" si="3"/>
        <v>0</v>
      </c>
      <c r="L50" s="88">
        <f t="shared" si="3"/>
        <v>0</v>
      </c>
      <c r="M50" s="88">
        <f t="shared" si="3"/>
        <v>0</v>
      </c>
      <c r="N50" s="89">
        <f t="shared" si="3"/>
        <v>0</v>
      </c>
      <c r="O50" s="89">
        <f>SUM(O5:O49)</f>
        <v>0</v>
      </c>
      <c r="P50" s="88">
        <f>SUM(P6:P49)</f>
        <v>0</v>
      </c>
      <c r="Q50" s="88">
        <f>SUM(Q6:Q48)</f>
        <v>200148.77556000007</v>
      </c>
      <c r="S50" s="17"/>
    </row>
    <row r="51" spans="3:28" ht="24.75" customHeight="1" thickTop="1" x14ac:dyDescent="0.25">
      <c r="C51" s="81"/>
      <c r="D51" s="81"/>
      <c r="E51" s="90"/>
      <c r="F51" s="90"/>
      <c r="G51" s="90"/>
      <c r="H51" s="90"/>
      <c r="I51" s="90"/>
      <c r="J51" s="90"/>
      <c r="K51" s="90"/>
      <c r="L51" s="90"/>
      <c r="M51" s="90"/>
      <c r="N51" s="91"/>
      <c r="O51" s="90"/>
      <c r="P51" s="90"/>
      <c r="Q51" s="90"/>
      <c r="S51" s="17"/>
    </row>
    <row r="52" spans="3:28" ht="24.75" customHeight="1" x14ac:dyDescent="0.25">
      <c r="E52" s="40"/>
      <c r="F52" s="40"/>
      <c r="G52" s="40"/>
      <c r="H52" s="40"/>
      <c r="I52" s="40"/>
      <c r="J52" s="40"/>
      <c r="K52" s="40"/>
      <c r="L52" s="40"/>
      <c r="M52" s="40"/>
      <c r="N52" s="78"/>
      <c r="O52" s="40"/>
      <c r="P52" s="40"/>
      <c r="Q52" s="40"/>
      <c r="S52" s="17"/>
    </row>
    <row r="53" spans="3:28" ht="24.75" customHeight="1" x14ac:dyDescent="0.25">
      <c r="E53" s="40"/>
      <c r="F53" s="40"/>
      <c r="G53" s="40"/>
      <c r="H53" s="40"/>
      <c r="I53" s="40"/>
      <c r="J53" s="40"/>
      <c r="K53" s="40"/>
      <c r="L53" s="40"/>
      <c r="M53" s="40"/>
      <c r="N53" s="78"/>
      <c r="O53" s="40"/>
      <c r="P53" s="40"/>
      <c r="Q53" s="40">
        <f>E50-F50-G50-H50</f>
        <v>200148.77556000001</v>
      </c>
      <c r="S53" s="17"/>
    </row>
    <row r="54" spans="3:28" ht="27.75" customHeight="1" x14ac:dyDescent="0.25">
      <c r="D54" s="5"/>
      <c r="E54" s="5"/>
      <c r="K54" s="5"/>
      <c r="L54" s="5"/>
      <c r="M54" s="5"/>
    </row>
    <row r="55" spans="3:28" ht="22.5" customHeight="1" x14ac:dyDescent="0.25">
      <c r="D55" s="241" t="s">
        <v>236</v>
      </c>
      <c r="E55" s="241"/>
      <c r="F55" s="39"/>
      <c r="G55" s="39"/>
      <c r="H55" s="39"/>
      <c r="I55" s="39"/>
      <c r="J55" s="39"/>
      <c r="K55" s="239" t="s">
        <v>235</v>
      </c>
      <c r="L55" s="239"/>
      <c r="M55" s="239"/>
      <c r="N55" s="24"/>
    </row>
    <row r="56" spans="3:28" ht="15.75" x14ac:dyDescent="0.25">
      <c r="D56" s="126" t="s">
        <v>18</v>
      </c>
      <c r="E56" s="126"/>
      <c r="F56" s="39"/>
      <c r="G56" s="39"/>
      <c r="H56" s="39"/>
      <c r="I56" s="39"/>
      <c r="J56" s="39"/>
      <c r="K56" s="239" t="s">
        <v>19</v>
      </c>
      <c r="L56" s="239"/>
      <c r="M56" s="239"/>
      <c r="N56" s="24"/>
      <c r="Q56" s="4"/>
    </row>
    <row r="57" spans="3:28" x14ac:dyDescent="0.25">
      <c r="Q57" s="4"/>
    </row>
    <row r="58" spans="3:28" x14ac:dyDescent="0.25">
      <c r="Q58" s="11"/>
    </row>
    <row r="59" spans="3:28" x14ac:dyDescent="0.25">
      <c r="Q59" s="17"/>
    </row>
    <row r="64" spans="3:28" x14ac:dyDescent="0.25">
      <c r="Q64" s="17"/>
    </row>
    <row r="76" spans="5:28" ht="39.950000000000003" customHeight="1" x14ac:dyDescent="0.25">
      <c r="E76" s="4"/>
      <c r="F76" s="4"/>
      <c r="G76" s="4"/>
      <c r="H76" s="4"/>
      <c r="I76" s="4"/>
      <c r="J76" s="4"/>
      <c r="K76" s="4"/>
      <c r="L76" s="4"/>
      <c r="M76" s="4"/>
      <c r="N76" s="4"/>
      <c r="P76" s="4"/>
      <c r="Q76" s="3"/>
      <c r="S76" s="24"/>
      <c r="T76" s="24"/>
      <c r="U76" s="24"/>
      <c r="W76" s="4"/>
      <c r="X76" s="4"/>
      <c r="Y76" s="4"/>
      <c r="Z76" s="4"/>
      <c r="AA76" s="4"/>
      <c r="AB76" s="4"/>
    </row>
    <row r="77" spans="5:28" ht="39.950000000000003" customHeight="1" x14ac:dyDescent="0.25">
      <c r="E77" s="4"/>
      <c r="F77" s="4"/>
      <c r="G77" s="4"/>
      <c r="H77" s="4"/>
      <c r="I77" s="4"/>
      <c r="J77" s="4"/>
      <c r="K77" s="4"/>
      <c r="L77" s="4"/>
      <c r="M77" s="4"/>
      <c r="N77" s="4"/>
      <c r="O77" s="18"/>
      <c r="P77" s="4"/>
      <c r="Q77" s="3"/>
      <c r="R77" s="24"/>
      <c r="S77" s="24"/>
      <c r="T77" s="24"/>
      <c r="U77" s="24"/>
      <c r="W77" s="4"/>
      <c r="X77" s="4"/>
      <c r="Y77" s="4"/>
      <c r="Z77" s="4"/>
      <c r="AA77" s="4"/>
      <c r="AB77" s="4"/>
    </row>
    <row r="78" spans="5:28" ht="39.950000000000003" customHeight="1" x14ac:dyDescent="0.25">
      <c r="E78" s="4"/>
      <c r="F78" s="4"/>
      <c r="G78" s="4"/>
      <c r="H78" s="4"/>
      <c r="I78" s="4"/>
      <c r="J78" s="4"/>
      <c r="K78" s="4"/>
      <c r="L78" s="4"/>
      <c r="M78" s="4"/>
      <c r="N78" s="4"/>
      <c r="O78" s="18"/>
      <c r="P78" s="4"/>
      <c r="Q78" s="3"/>
      <c r="R78" s="24"/>
    </row>
    <row r="79" spans="5:28" x14ac:dyDescent="0.25">
      <c r="O79" s="18"/>
    </row>
    <row r="86" spans="1:28" ht="39.950000000000003" customHeight="1" x14ac:dyDescent="0.25">
      <c r="E86" s="4"/>
      <c r="F86" s="4"/>
      <c r="G86" s="4"/>
      <c r="H86" s="4"/>
      <c r="I86" s="4"/>
      <c r="J86" s="4"/>
      <c r="K86" s="4"/>
      <c r="L86" s="4"/>
      <c r="M86" s="4"/>
      <c r="N86" s="4"/>
      <c r="P86" s="4"/>
      <c r="Q86" s="3"/>
      <c r="S86" s="24"/>
      <c r="T86" s="24"/>
      <c r="U86" s="24"/>
      <c r="W86" s="4"/>
      <c r="X86" s="4"/>
      <c r="Y86" s="4"/>
      <c r="Z86" s="4"/>
      <c r="AA86" s="4"/>
      <c r="AB86" s="4"/>
    </row>
    <row r="87" spans="1:28" x14ac:dyDescent="0.25">
      <c r="O87" s="18"/>
      <c r="R87" s="24"/>
    </row>
    <row r="89" spans="1:28" ht="39.950000000000003" customHeight="1" x14ac:dyDescent="0.25">
      <c r="E89" s="4"/>
      <c r="F89" s="4"/>
      <c r="G89" s="4"/>
      <c r="H89" s="4"/>
      <c r="I89" s="4"/>
      <c r="J89" s="4"/>
      <c r="K89" s="4"/>
      <c r="L89" s="4"/>
      <c r="M89" s="4"/>
      <c r="N89" s="4"/>
      <c r="P89" s="4"/>
      <c r="Q89" s="3"/>
      <c r="S89" s="24"/>
      <c r="T89" s="24"/>
      <c r="U89" s="24"/>
      <c r="W89" s="4"/>
      <c r="X89" s="4"/>
      <c r="Y89" s="4"/>
      <c r="Z89" s="4"/>
      <c r="AA89" s="4"/>
      <c r="AB89" s="4"/>
    </row>
    <row r="90" spans="1:28" ht="39.950000000000003" customHeight="1" x14ac:dyDescent="0.25">
      <c r="E90" s="4"/>
      <c r="F90" s="4"/>
      <c r="G90" s="4"/>
      <c r="H90" s="4"/>
      <c r="I90" s="4"/>
      <c r="J90" s="4"/>
      <c r="K90" s="4"/>
      <c r="L90" s="4"/>
      <c r="M90" s="4"/>
      <c r="N90" s="4"/>
      <c r="O90" s="18"/>
      <c r="P90" s="4"/>
      <c r="Q90" s="3"/>
      <c r="R90" s="24"/>
      <c r="S90" s="24"/>
      <c r="T90" s="24"/>
      <c r="U90" s="24"/>
      <c r="W90" s="4"/>
      <c r="X90" s="4"/>
      <c r="Y90" s="4"/>
      <c r="Z90" s="4"/>
      <c r="AA90" s="4"/>
      <c r="AB90" s="4"/>
    </row>
    <row r="91" spans="1:28" x14ac:dyDescent="0.25">
      <c r="O91" s="18"/>
      <c r="R91" s="24"/>
    </row>
    <row r="92" spans="1:28" ht="39.950000000000003" customHeight="1" x14ac:dyDescent="0.25">
      <c r="E92" s="4"/>
      <c r="F92" s="4"/>
      <c r="G92" s="4"/>
      <c r="H92" s="4"/>
      <c r="I92" s="4"/>
      <c r="J92" s="4"/>
      <c r="K92" s="4"/>
      <c r="L92" s="4"/>
      <c r="M92" s="4"/>
      <c r="N92" s="4"/>
      <c r="P92" s="4"/>
      <c r="Q92" s="3"/>
      <c r="S92" s="24"/>
      <c r="T92" s="24"/>
      <c r="U92" s="24"/>
      <c r="W92" s="4"/>
      <c r="X92" s="4"/>
      <c r="Y92" s="4"/>
      <c r="Z92" s="4"/>
      <c r="AA92" s="4"/>
      <c r="AB92" s="4"/>
    </row>
    <row r="93" spans="1:28" ht="39.950000000000003" customHeight="1" x14ac:dyDescent="0.25">
      <c r="E93" s="4"/>
      <c r="F93" s="4"/>
      <c r="G93" s="4"/>
      <c r="H93" s="4"/>
      <c r="I93" s="4"/>
      <c r="J93" s="4"/>
      <c r="K93" s="4"/>
      <c r="L93" s="4"/>
      <c r="M93" s="4"/>
      <c r="N93" s="4"/>
      <c r="O93" s="18"/>
      <c r="P93" s="4"/>
      <c r="Q93" s="3"/>
      <c r="R93" s="24"/>
      <c r="S93" s="24"/>
      <c r="T93" s="24"/>
      <c r="U93" s="24"/>
      <c r="W93" s="4"/>
      <c r="X93" s="4"/>
      <c r="Y93" s="4"/>
      <c r="Z93" s="4"/>
      <c r="AA93" s="4"/>
      <c r="AB93" s="4"/>
    </row>
    <row r="94" spans="1:28" x14ac:dyDescent="0.25">
      <c r="O94" s="18"/>
      <c r="R94" s="24"/>
    </row>
    <row r="95" spans="1:28" ht="39.950000000000003" customHeight="1" x14ac:dyDescent="0.25">
      <c r="E95" s="4"/>
      <c r="F95" s="4"/>
      <c r="G95" s="4"/>
      <c r="H95" s="4"/>
      <c r="I95" s="4"/>
      <c r="J95" s="4"/>
      <c r="K95" s="4"/>
      <c r="L95" s="4"/>
      <c r="M95" s="4"/>
      <c r="N95" s="4"/>
      <c r="P95" s="4"/>
      <c r="Q95" s="3"/>
      <c r="S95" s="24"/>
      <c r="T95" s="24"/>
      <c r="U95" s="24"/>
      <c r="W95" s="4"/>
      <c r="X95" s="4"/>
      <c r="Y95" s="4"/>
      <c r="Z95" s="4"/>
      <c r="AA95" s="4"/>
      <c r="AB95" s="4"/>
    </row>
    <row r="96" spans="1:28" ht="39.950000000000003" customHeight="1" x14ac:dyDescent="0.25">
      <c r="A96" s="174"/>
      <c r="B96" s="167"/>
      <c r="E96" s="4"/>
      <c r="F96" s="4"/>
      <c r="G96" s="4"/>
      <c r="H96" s="4"/>
      <c r="I96" s="4"/>
      <c r="J96" s="4"/>
      <c r="K96" s="4"/>
      <c r="L96" s="4"/>
      <c r="M96" s="4"/>
      <c r="N96" s="4"/>
      <c r="O96" s="18"/>
      <c r="P96" s="4"/>
      <c r="Q96" s="3"/>
      <c r="R96" s="24"/>
      <c r="S96" s="24"/>
      <c r="T96" s="24"/>
      <c r="U96" s="24"/>
      <c r="W96" s="4"/>
      <c r="X96" s="4"/>
      <c r="Y96" s="4"/>
      <c r="Z96" s="4"/>
      <c r="AA96" s="4"/>
      <c r="AB96" s="4"/>
    </row>
    <row r="97" spans="5:28" x14ac:dyDescent="0.25">
      <c r="O97" s="18"/>
      <c r="R97" s="24"/>
    </row>
    <row r="98" spans="5:28" ht="39.950000000000003" customHeight="1" x14ac:dyDescent="0.25">
      <c r="E98" s="4"/>
      <c r="F98" s="4"/>
      <c r="G98" s="4"/>
      <c r="H98" s="4"/>
      <c r="I98" s="4"/>
      <c r="J98" s="4"/>
      <c r="K98" s="4"/>
      <c r="L98" s="4"/>
      <c r="M98" s="4"/>
      <c r="N98" s="4"/>
      <c r="P98" s="4"/>
      <c r="Q98" s="3"/>
      <c r="S98" s="24"/>
      <c r="T98" s="24"/>
      <c r="U98" s="24"/>
      <c r="W98" s="4"/>
      <c r="X98" s="4"/>
      <c r="Y98" s="4"/>
      <c r="Z98" s="4"/>
      <c r="AA98" s="4"/>
      <c r="AB98" s="4"/>
    </row>
    <row r="99" spans="5:28" x14ac:dyDescent="0.25">
      <c r="O99" s="18"/>
      <c r="R99" s="24"/>
    </row>
    <row r="100" spans="5:28" ht="39.950000000000003" customHeight="1" x14ac:dyDescent="0.25">
      <c r="E100" s="4"/>
      <c r="F100" s="4"/>
      <c r="G100" s="4"/>
      <c r="H100" s="4"/>
      <c r="I100" s="4"/>
      <c r="J100" s="4"/>
      <c r="K100" s="4"/>
      <c r="L100" s="4"/>
      <c r="M100" s="4"/>
      <c r="N100" s="4"/>
      <c r="P100" s="4"/>
      <c r="Q100" s="3"/>
      <c r="S100" s="24"/>
      <c r="T100" s="24"/>
      <c r="U100" s="24"/>
      <c r="W100" s="4"/>
      <c r="X100" s="4"/>
      <c r="Y100" s="4"/>
      <c r="Z100" s="4"/>
      <c r="AA100" s="4"/>
      <c r="AB100" s="4"/>
    </row>
    <row r="101" spans="5:28" x14ac:dyDescent="0.25">
      <c r="O101" s="18"/>
      <c r="R101" s="24"/>
    </row>
    <row r="102" spans="5:28" ht="39.950000000000003" customHeight="1" x14ac:dyDescent="0.25">
      <c r="E102" s="4"/>
      <c r="F102" s="4"/>
      <c r="G102" s="4"/>
      <c r="H102" s="4"/>
      <c r="I102" s="4"/>
      <c r="J102" s="4"/>
      <c r="K102" s="4"/>
      <c r="L102" s="4"/>
      <c r="M102" s="4"/>
      <c r="N102" s="4"/>
      <c r="P102" s="4"/>
      <c r="Q102" s="3"/>
      <c r="S102" s="24"/>
      <c r="T102" s="24"/>
      <c r="U102" s="24"/>
      <c r="W102" s="4"/>
      <c r="X102" s="4"/>
      <c r="Y102" s="4"/>
      <c r="Z102" s="4"/>
      <c r="AA102" s="4"/>
      <c r="AB102" s="4"/>
    </row>
    <row r="103" spans="5:28" x14ac:dyDescent="0.25">
      <c r="O103" s="18"/>
      <c r="R103" s="24"/>
    </row>
    <row r="106" spans="5:28" ht="39.950000000000003" customHeight="1" x14ac:dyDescent="0.25">
      <c r="E106" s="4"/>
      <c r="F106" s="4"/>
      <c r="G106" s="4"/>
      <c r="H106" s="4"/>
      <c r="I106" s="4"/>
      <c r="J106" s="4"/>
      <c r="K106" s="4"/>
      <c r="L106" s="4"/>
      <c r="M106" s="4"/>
      <c r="N106" s="4"/>
      <c r="P106" s="4"/>
      <c r="Q106" s="3"/>
      <c r="S106" s="24"/>
      <c r="T106" s="24"/>
      <c r="U106" s="24"/>
      <c r="W106" s="4"/>
      <c r="X106" s="4"/>
      <c r="Y106" s="4"/>
      <c r="Z106" s="4"/>
      <c r="AA106" s="4"/>
      <c r="AB106" s="4"/>
    </row>
    <row r="107" spans="5:28" x14ac:dyDescent="0.25">
      <c r="O107" s="18"/>
      <c r="R107" s="24"/>
    </row>
    <row r="109" spans="5:28" ht="39.950000000000003" customHeight="1" x14ac:dyDescent="0.25">
      <c r="E109" s="4"/>
      <c r="F109" s="4"/>
      <c r="G109" s="4"/>
      <c r="H109" s="4"/>
      <c r="I109" s="4"/>
      <c r="J109" s="4"/>
      <c r="K109" s="4"/>
      <c r="L109" s="4"/>
      <c r="M109" s="4"/>
      <c r="N109" s="4"/>
      <c r="P109" s="4"/>
      <c r="Q109" s="3"/>
      <c r="S109" s="24"/>
      <c r="T109" s="24"/>
      <c r="U109" s="24"/>
      <c r="W109" s="4"/>
      <c r="X109" s="4"/>
      <c r="Y109" s="4"/>
      <c r="Z109" s="4"/>
      <c r="AA109" s="4"/>
      <c r="AB109" s="4"/>
    </row>
    <row r="110" spans="5:28" x14ac:dyDescent="0.25">
      <c r="O110" s="18"/>
      <c r="R110" s="24"/>
    </row>
    <row r="114" spans="1:28" ht="39.950000000000003" customHeight="1" x14ac:dyDescent="0.25">
      <c r="E114" s="4"/>
      <c r="F114" s="4"/>
      <c r="G114" s="4"/>
      <c r="H114" s="4"/>
      <c r="I114" s="4"/>
      <c r="J114" s="4"/>
      <c r="K114" s="4"/>
      <c r="L114" s="4"/>
      <c r="M114" s="4"/>
      <c r="N114" s="4"/>
      <c r="P114" s="4"/>
      <c r="Q114" s="3"/>
      <c r="S114" s="24"/>
      <c r="T114" s="24"/>
      <c r="U114" s="24"/>
      <c r="W114" s="4"/>
      <c r="X114" s="4"/>
      <c r="Y114" s="4"/>
      <c r="Z114" s="4"/>
      <c r="AA114" s="4"/>
      <c r="AB114" s="4"/>
    </row>
    <row r="115" spans="1:28" ht="39.950000000000003" customHeight="1" x14ac:dyDescent="0.25"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18"/>
      <c r="P115" s="4"/>
      <c r="Q115" s="3"/>
      <c r="R115" s="24"/>
      <c r="S115" s="24"/>
      <c r="T115" s="24"/>
      <c r="U115" s="24"/>
      <c r="W115" s="4"/>
      <c r="X115" s="4"/>
      <c r="Y115" s="4"/>
      <c r="Z115" s="4"/>
      <c r="AA115" s="4"/>
      <c r="AB115" s="4"/>
    </row>
    <row r="116" spans="1:28" x14ac:dyDescent="0.25">
      <c r="O116" s="18"/>
      <c r="R116" s="24"/>
    </row>
    <row r="117" spans="1:28" ht="39.950000000000003" customHeight="1" x14ac:dyDescent="0.25">
      <c r="E117" s="4"/>
      <c r="F117" s="4"/>
      <c r="G117" s="4"/>
      <c r="H117" s="4"/>
      <c r="I117" s="4"/>
      <c r="J117" s="4"/>
      <c r="K117" s="4"/>
      <c r="L117" s="4"/>
      <c r="M117" s="4"/>
      <c r="N117" s="4"/>
      <c r="P117" s="4"/>
      <c r="Q117" s="3"/>
      <c r="S117" s="24"/>
      <c r="T117" s="24"/>
      <c r="U117" s="24"/>
      <c r="W117" s="4"/>
      <c r="X117" s="4"/>
      <c r="Y117" s="4"/>
      <c r="Z117" s="4"/>
      <c r="AA117" s="4"/>
      <c r="AB117" s="4"/>
    </row>
    <row r="118" spans="1:28" ht="39.950000000000003" customHeight="1" x14ac:dyDescent="0.25"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18"/>
      <c r="P118" s="4"/>
      <c r="Q118" s="3"/>
      <c r="R118" s="24"/>
      <c r="S118" s="24"/>
      <c r="T118" s="24"/>
      <c r="U118" s="24"/>
      <c r="W118" s="4"/>
      <c r="X118" s="4"/>
      <c r="Y118" s="4"/>
      <c r="Z118" s="4"/>
      <c r="AA118" s="4"/>
      <c r="AB118" s="4"/>
    </row>
    <row r="119" spans="1:28" ht="39.950000000000003" customHeight="1" x14ac:dyDescent="0.25"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18"/>
      <c r="P119" s="4"/>
      <c r="Q119" s="3"/>
      <c r="R119" s="24"/>
      <c r="S119" s="24"/>
      <c r="T119" s="24"/>
      <c r="U119" s="24"/>
      <c r="W119" s="4"/>
      <c r="X119" s="4"/>
      <c r="Y119" s="4"/>
      <c r="Z119" s="4"/>
      <c r="AA119" s="4"/>
      <c r="AB119" s="4"/>
    </row>
    <row r="120" spans="1:28" ht="39.950000000000003" customHeight="1" x14ac:dyDescent="0.25"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18"/>
      <c r="P120" s="4"/>
      <c r="Q120" s="3"/>
      <c r="R120" s="24"/>
      <c r="S120" s="24"/>
      <c r="T120" s="24"/>
      <c r="U120" s="24"/>
      <c r="W120" s="4"/>
      <c r="X120" s="4"/>
      <c r="Y120" s="4"/>
      <c r="Z120" s="4"/>
      <c r="AA120" s="4"/>
      <c r="AB120" s="4"/>
    </row>
    <row r="121" spans="1:28" x14ac:dyDescent="0.25">
      <c r="O121" s="18"/>
      <c r="R121" s="24"/>
    </row>
    <row r="122" spans="1:28" ht="39.950000000000003" customHeight="1" x14ac:dyDescent="0.25">
      <c r="E122" s="4"/>
      <c r="F122" s="4"/>
      <c r="G122" s="4"/>
      <c r="H122" s="4"/>
      <c r="I122" s="4"/>
      <c r="J122" s="4"/>
      <c r="K122" s="4"/>
      <c r="L122" s="4"/>
      <c r="M122" s="4"/>
      <c r="N122" s="4"/>
      <c r="P122" s="4"/>
      <c r="Q122" s="3"/>
      <c r="S122" s="24"/>
      <c r="T122" s="24"/>
      <c r="U122" s="24"/>
      <c r="W122" s="4"/>
      <c r="X122" s="4"/>
      <c r="Y122" s="4"/>
      <c r="Z122" s="4"/>
      <c r="AA122" s="4"/>
      <c r="AB122" s="4"/>
    </row>
    <row r="123" spans="1:28" ht="39.950000000000003" customHeight="1" x14ac:dyDescent="0.25">
      <c r="A123" s="174"/>
      <c r="B123" s="167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18"/>
      <c r="P123" s="4"/>
      <c r="Q123" s="3"/>
      <c r="R123" s="24"/>
      <c r="S123" s="24"/>
      <c r="T123" s="24"/>
      <c r="U123" s="24"/>
      <c r="W123" s="4"/>
      <c r="X123" s="4"/>
      <c r="Y123" s="4"/>
      <c r="Z123" s="4"/>
      <c r="AA123" s="4"/>
      <c r="AB123" s="4"/>
    </row>
    <row r="124" spans="1:28" x14ac:dyDescent="0.25">
      <c r="O124" s="18"/>
      <c r="R124" s="24"/>
    </row>
    <row r="126" spans="1:28" ht="39.950000000000003" customHeight="1" x14ac:dyDescent="0.25">
      <c r="E126" s="4"/>
      <c r="F126" s="4"/>
      <c r="G126" s="4"/>
      <c r="H126" s="4"/>
      <c r="I126" s="4"/>
      <c r="J126" s="4"/>
      <c r="K126" s="4"/>
      <c r="L126" s="4"/>
      <c r="M126" s="4"/>
      <c r="N126" s="4"/>
      <c r="P126" s="4"/>
      <c r="Q126" s="3"/>
      <c r="S126" s="24"/>
      <c r="T126" s="24"/>
      <c r="U126" s="24"/>
      <c r="W126" s="4"/>
      <c r="X126" s="4"/>
      <c r="Y126" s="4"/>
      <c r="Z126" s="4"/>
      <c r="AA126" s="4"/>
      <c r="AB126" s="4"/>
    </row>
    <row r="127" spans="1:28" x14ac:dyDescent="0.25">
      <c r="O127" s="18"/>
      <c r="R127" s="24"/>
    </row>
    <row r="133" spans="1:28" ht="39.950000000000003" customHeight="1" x14ac:dyDescent="0.25">
      <c r="E133" s="4"/>
      <c r="F133" s="4"/>
      <c r="G133" s="4"/>
      <c r="H133" s="4"/>
      <c r="I133" s="4"/>
      <c r="J133" s="4"/>
      <c r="K133" s="4"/>
      <c r="L133" s="4"/>
      <c r="M133" s="4"/>
      <c r="N133" s="4"/>
      <c r="P133" s="4"/>
      <c r="Q133" s="3"/>
      <c r="S133" s="24"/>
      <c r="T133" s="24"/>
      <c r="U133" s="24"/>
      <c r="W133" s="4"/>
      <c r="X133" s="4"/>
      <c r="Y133" s="4"/>
      <c r="Z133" s="4"/>
      <c r="AA133" s="4"/>
      <c r="AB133" s="4"/>
    </row>
    <row r="134" spans="1:28" x14ac:dyDescent="0.25">
      <c r="O134" s="18"/>
      <c r="R134" s="24"/>
    </row>
    <row r="135" spans="1:28" ht="39.950000000000003" customHeight="1" x14ac:dyDescent="0.25">
      <c r="E135" s="4"/>
      <c r="F135" s="4"/>
      <c r="G135" s="4"/>
      <c r="H135" s="4"/>
      <c r="I135" s="4"/>
      <c r="J135" s="4"/>
      <c r="K135" s="4"/>
      <c r="L135" s="4"/>
      <c r="M135" s="4"/>
      <c r="N135" s="4"/>
      <c r="P135" s="4"/>
      <c r="Q135" s="3"/>
      <c r="S135" s="24"/>
      <c r="T135" s="24"/>
      <c r="U135" s="24"/>
      <c r="W135" s="4"/>
      <c r="X135" s="4"/>
      <c r="Y135" s="4"/>
      <c r="Z135" s="4"/>
      <c r="AA135" s="4"/>
      <c r="AB135" s="4"/>
    </row>
    <row r="136" spans="1:28" x14ac:dyDescent="0.25">
      <c r="O136" s="18"/>
      <c r="R136" s="24"/>
    </row>
    <row r="137" spans="1:28" ht="39.950000000000003" customHeight="1" x14ac:dyDescent="0.25">
      <c r="E137" s="4"/>
      <c r="F137" s="4"/>
      <c r="G137" s="4"/>
      <c r="H137" s="4"/>
      <c r="I137" s="4"/>
      <c r="J137" s="4"/>
      <c r="K137" s="4"/>
      <c r="L137" s="4"/>
      <c r="M137" s="4"/>
      <c r="N137" s="4"/>
      <c r="P137" s="4"/>
      <c r="Q137" s="3"/>
      <c r="S137" s="24"/>
      <c r="T137" s="24"/>
      <c r="U137" s="24"/>
      <c r="W137" s="4"/>
      <c r="X137" s="28"/>
      <c r="Y137" s="4"/>
      <c r="Z137" s="4"/>
      <c r="AA137" s="4"/>
      <c r="AB137" s="4"/>
    </row>
    <row r="138" spans="1:28" x14ac:dyDescent="0.25">
      <c r="O138" s="18"/>
      <c r="R138" s="24"/>
    </row>
    <row r="140" spans="1:28" ht="39.950000000000003" customHeight="1" x14ac:dyDescent="0.25">
      <c r="A140" s="174"/>
      <c r="B140" s="167"/>
      <c r="E140" s="4"/>
      <c r="F140" s="4"/>
      <c r="G140" s="4"/>
      <c r="H140" s="4"/>
      <c r="I140" s="4"/>
      <c r="J140" s="4"/>
      <c r="K140" s="4"/>
      <c r="L140" s="4"/>
      <c r="M140" s="4"/>
      <c r="N140" s="4"/>
      <c r="P140" s="4"/>
      <c r="Q140" s="3"/>
      <c r="S140" s="24"/>
      <c r="T140" s="24"/>
      <c r="U140" s="24"/>
      <c r="W140" s="4"/>
      <c r="X140" s="4"/>
      <c r="Y140" s="4"/>
      <c r="Z140" s="4"/>
      <c r="AA140" s="4"/>
      <c r="AB140" s="4"/>
    </row>
    <row r="141" spans="1:28" ht="39.950000000000003" customHeight="1" x14ac:dyDescent="0.25"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18"/>
      <c r="P141" s="4"/>
      <c r="Q141" s="3"/>
      <c r="R141" s="24"/>
      <c r="S141" s="24"/>
      <c r="T141" s="24"/>
      <c r="U141" s="24"/>
      <c r="W141" s="4"/>
      <c r="X141" s="4"/>
      <c r="Y141" s="4"/>
      <c r="Z141" s="4"/>
      <c r="AA141" s="4"/>
      <c r="AB141" s="4"/>
    </row>
    <row r="142" spans="1:28" x14ac:dyDescent="0.25">
      <c r="O142" s="18"/>
      <c r="R142" s="24"/>
    </row>
    <row r="144" spans="1:28" ht="19.5" customHeight="1" x14ac:dyDescent="0.25"/>
    <row r="145" spans="1:28" ht="39.950000000000003" customHeight="1" x14ac:dyDescent="0.25">
      <c r="E145" s="4"/>
      <c r="F145" s="4"/>
      <c r="G145" s="4"/>
      <c r="H145" s="4"/>
      <c r="I145" s="4"/>
      <c r="J145" s="4"/>
      <c r="K145" s="4"/>
      <c r="L145" s="4"/>
      <c r="M145" s="4"/>
      <c r="N145" s="4"/>
      <c r="P145" s="4"/>
      <c r="Q145" s="3"/>
      <c r="S145" s="24"/>
      <c r="T145" s="24"/>
      <c r="U145" s="24"/>
      <c r="W145" s="4"/>
      <c r="X145" s="4"/>
      <c r="Y145" s="4"/>
      <c r="Z145" s="4"/>
      <c r="AA145" s="4"/>
      <c r="AB145" s="4"/>
    </row>
    <row r="146" spans="1:28" x14ac:dyDescent="0.25">
      <c r="O146" s="18"/>
      <c r="R146" s="24"/>
    </row>
    <row r="147" spans="1:28" ht="39.950000000000003" customHeight="1" x14ac:dyDescent="0.25">
      <c r="E147" s="4"/>
      <c r="F147" s="4"/>
      <c r="G147" s="4"/>
      <c r="H147" s="4"/>
      <c r="I147" s="4"/>
      <c r="J147" s="4"/>
      <c r="K147" s="4"/>
      <c r="L147" s="4"/>
      <c r="M147" s="4"/>
      <c r="N147" s="4"/>
      <c r="P147" s="4"/>
      <c r="Q147" s="3"/>
      <c r="S147" s="24"/>
      <c r="T147" s="24"/>
      <c r="U147" s="24"/>
      <c r="W147" s="4"/>
      <c r="X147" s="4"/>
      <c r="Y147" s="4"/>
      <c r="Z147" s="4"/>
      <c r="AA147" s="4"/>
      <c r="AB147" s="4"/>
    </row>
    <row r="148" spans="1:28" x14ac:dyDescent="0.25">
      <c r="O148" s="18"/>
      <c r="R148" s="24"/>
    </row>
    <row r="150" spans="1:28" ht="39.950000000000003" customHeight="1" x14ac:dyDescent="0.25">
      <c r="E150" s="4"/>
      <c r="F150" s="4"/>
      <c r="G150" s="4"/>
      <c r="H150" s="4"/>
      <c r="I150" s="4"/>
      <c r="J150" s="4"/>
      <c r="K150" s="4"/>
      <c r="L150" s="4"/>
      <c r="M150" s="4"/>
      <c r="N150" s="4"/>
      <c r="P150" s="4"/>
      <c r="Q150" s="3"/>
      <c r="S150" s="24"/>
      <c r="T150" s="24"/>
      <c r="U150" s="24"/>
      <c r="W150" s="4"/>
      <c r="X150" s="4"/>
      <c r="Y150" s="4"/>
      <c r="Z150" s="4"/>
      <c r="AA150" s="4"/>
      <c r="AB150" s="4"/>
    </row>
    <row r="151" spans="1:28" x14ac:dyDescent="0.25">
      <c r="O151" s="18"/>
      <c r="R151" s="24"/>
    </row>
    <row r="153" spans="1:28" s="29" customFormat="1" ht="39.950000000000003" customHeight="1" x14ac:dyDescent="0.25">
      <c r="A153" s="211"/>
      <c r="B153" s="168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/>
      <c r="P153" s="30"/>
      <c r="Q153" s="31"/>
      <c r="R153"/>
      <c r="S153" s="131"/>
      <c r="T153" s="131"/>
      <c r="U153" s="131"/>
      <c r="W153" s="30"/>
      <c r="X153" s="30"/>
      <c r="Y153" s="30"/>
      <c r="Z153" s="30"/>
      <c r="AA153" s="30"/>
      <c r="AB153" s="30"/>
    </row>
    <row r="154" spans="1:28" s="29" customFormat="1" ht="39.950000000000003" customHeight="1" x14ac:dyDescent="0.25">
      <c r="A154" s="211"/>
      <c r="B154" s="168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145"/>
      <c r="P154" s="30"/>
      <c r="Q154" s="31"/>
      <c r="R154" s="131"/>
      <c r="S154" s="131"/>
      <c r="T154" s="131"/>
      <c r="U154" s="131"/>
      <c r="W154" s="30"/>
      <c r="X154" s="30"/>
      <c r="Y154" s="30"/>
      <c r="Z154" s="30"/>
      <c r="AA154" s="30"/>
      <c r="AB154" s="30"/>
    </row>
    <row r="155" spans="1:28" x14ac:dyDescent="0.25">
      <c r="O155" s="145"/>
      <c r="R155" s="131"/>
    </row>
    <row r="156" spans="1:28" ht="39.950000000000003" customHeight="1" x14ac:dyDescent="0.25">
      <c r="E156" s="18"/>
      <c r="F156" s="4"/>
      <c r="G156" s="4"/>
      <c r="H156" s="4"/>
      <c r="I156" s="4"/>
      <c r="J156" s="4"/>
      <c r="K156" s="4"/>
      <c r="L156" s="4"/>
      <c r="M156" s="4"/>
      <c r="N156" s="4"/>
      <c r="P156" s="4"/>
      <c r="Q156" s="3"/>
      <c r="S156" s="24"/>
      <c r="T156" s="24"/>
      <c r="U156" s="24"/>
      <c r="W156" s="4"/>
      <c r="X156" s="4"/>
      <c r="Y156" s="4"/>
      <c r="Z156" s="4"/>
      <c r="AA156" s="4"/>
      <c r="AB156" s="4"/>
    </row>
    <row r="157" spans="1:28" x14ac:dyDescent="0.25">
      <c r="O157" s="18"/>
      <c r="R157" s="24"/>
    </row>
    <row r="165" spans="5:28" ht="39.950000000000003" customHeight="1" x14ac:dyDescent="0.25">
      <c r="E165" s="18"/>
      <c r="F165" s="4"/>
      <c r="G165" s="4"/>
      <c r="H165" s="4"/>
      <c r="I165" s="4"/>
      <c r="J165" s="4"/>
      <c r="K165" s="4"/>
      <c r="L165" s="4"/>
      <c r="M165" s="4"/>
      <c r="N165" s="4"/>
      <c r="P165" s="4"/>
      <c r="Q165" s="3"/>
      <c r="S165" s="24"/>
      <c r="T165" s="24"/>
      <c r="U165" s="24"/>
      <c r="W165" s="4"/>
      <c r="X165" s="4"/>
      <c r="Y165" s="4"/>
      <c r="Z165" s="4"/>
      <c r="AA165" s="4"/>
      <c r="AB165" s="4"/>
    </row>
    <row r="166" spans="5:28" x14ac:dyDescent="0.25">
      <c r="O166" s="18"/>
      <c r="R166" s="24"/>
    </row>
    <row r="167" spans="5:28" ht="39.950000000000003" customHeight="1" x14ac:dyDescent="0.25">
      <c r="E167" s="18"/>
      <c r="F167" s="4"/>
      <c r="G167" s="4"/>
      <c r="H167" s="4"/>
      <c r="I167" s="4"/>
      <c r="J167" s="4"/>
      <c r="K167" s="4"/>
      <c r="L167" s="4"/>
      <c r="M167" s="4"/>
      <c r="N167" s="4"/>
      <c r="P167" s="4"/>
      <c r="Q167" s="3"/>
      <c r="S167" s="24"/>
      <c r="T167" s="24"/>
      <c r="U167" s="24"/>
      <c r="V167" s="32"/>
      <c r="W167" s="4"/>
      <c r="X167" s="3"/>
      <c r="Y167" s="4"/>
      <c r="Z167" s="4"/>
      <c r="AA167" s="4"/>
      <c r="AB167" s="4"/>
    </row>
    <row r="168" spans="5:28" x14ac:dyDescent="0.25">
      <c r="O168" s="18"/>
      <c r="R168" s="24"/>
    </row>
    <row r="169" spans="5:28" ht="39.950000000000003" customHeight="1" x14ac:dyDescent="0.25">
      <c r="E169" s="18"/>
      <c r="F169" s="4"/>
      <c r="G169" s="4"/>
      <c r="H169" s="4"/>
      <c r="I169" s="4"/>
      <c r="J169" s="4"/>
      <c r="K169" s="4"/>
      <c r="L169" s="4"/>
      <c r="M169" s="4"/>
      <c r="N169" s="4"/>
      <c r="P169" s="4"/>
      <c r="Q169" s="3"/>
      <c r="S169" s="24"/>
      <c r="T169" s="24"/>
      <c r="U169" s="24"/>
      <c r="W169" s="4"/>
      <c r="X169" s="4"/>
      <c r="Y169" s="4"/>
      <c r="Z169" s="4"/>
      <c r="AA169" s="4"/>
      <c r="AB169" s="4"/>
    </row>
    <row r="170" spans="5:28" ht="39.950000000000003" customHeight="1" x14ac:dyDescent="0.25">
      <c r="E170" s="18"/>
      <c r="F170" s="4"/>
      <c r="G170" s="4"/>
      <c r="H170" s="4"/>
      <c r="I170" s="4"/>
      <c r="J170" s="4"/>
      <c r="K170" s="4"/>
      <c r="L170" s="4"/>
      <c r="M170" s="4"/>
      <c r="N170" s="4"/>
      <c r="O170" s="18"/>
      <c r="P170" s="4"/>
      <c r="Q170" s="3"/>
      <c r="R170" s="24"/>
      <c r="S170" s="24"/>
      <c r="T170" s="24"/>
      <c r="U170" s="24"/>
      <c r="W170" s="4"/>
      <c r="X170" s="4"/>
      <c r="Y170" s="4"/>
      <c r="Z170" s="4"/>
      <c r="AA170" s="4"/>
      <c r="AB170" s="4"/>
    </row>
    <row r="171" spans="5:28" x14ac:dyDescent="0.25">
      <c r="O171" s="18"/>
      <c r="R171" s="24"/>
    </row>
    <row r="172" spans="5:28" ht="39.950000000000003" customHeight="1" x14ac:dyDescent="0.25">
      <c r="E172" s="18"/>
      <c r="F172" s="4"/>
      <c r="G172" s="4"/>
      <c r="H172" s="4"/>
      <c r="I172" s="4"/>
      <c r="J172" s="4"/>
      <c r="K172" s="4"/>
      <c r="L172" s="4"/>
      <c r="M172" s="4"/>
      <c r="N172" s="4"/>
      <c r="P172" s="4"/>
      <c r="Q172" s="3"/>
      <c r="S172" s="24"/>
      <c r="T172" s="24"/>
      <c r="U172" s="24"/>
      <c r="W172" s="4"/>
      <c r="X172" s="4"/>
      <c r="Y172" s="4"/>
      <c r="Z172" s="4"/>
      <c r="AA172" s="4"/>
      <c r="AB172" s="4"/>
    </row>
    <row r="173" spans="5:28" x14ac:dyDescent="0.25">
      <c r="O173" s="18"/>
      <c r="R173" s="24"/>
    </row>
    <row r="174" spans="5:28" ht="39.950000000000003" customHeight="1" x14ac:dyDescent="0.25">
      <c r="E174" s="18"/>
      <c r="F174" s="4"/>
      <c r="G174" s="4"/>
      <c r="H174" s="4"/>
      <c r="I174" s="4"/>
      <c r="J174" s="4"/>
      <c r="K174" s="4"/>
      <c r="L174" s="4"/>
      <c r="M174" s="4"/>
      <c r="N174" s="4"/>
      <c r="P174" s="4"/>
      <c r="Q174" s="3"/>
      <c r="S174" s="24"/>
      <c r="T174" s="24"/>
      <c r="U174" s="24"/>
      <c r="W174" s="4"/>
      <c r="X174" s="4"/>
      <c r="Y174" s="4"/>
      <c r="Z174" s="4"/>
      <c r="AA174" s="4"/>
      <c r="AB174" s="4"/>
    </row>
    <row r="175" spans="5:28" ht="39.950000000000003" customHeight="1" x14ac:dyDescent="0.25">
      <c r="E175" s="18"/>
      <c r="F175" s="4"/>
      <c r="G175" s="4"/>
      <c r="H175" s="4"/>
      <c r="I175" s="4"/>
      <c r="J175" s="4"/>
      <c r="K175" s="4"/>
      <c r="L175" s="4"/>
      <c r="M175" s="4"/>
      <c r="N175" s="4"/>
      <c r="O175" s="18"/>
      <c r="P175" s="4"/>
      <c r="Q175" s="3"/>
      <c r="R175" s="24"/>
      <c r="S175" s="24"/>
      <c r="T175" s="24"/>
      <c r="U175" s="24"/>
      <c r="W175" s="4"/>
      <c r="X175" s="4"/>
      <c r="Y175" s="4"/>
      <c r="Z175" s="4"/>
      <c r="AA175" s="4"/>
      <c r="AB175" s="4"/>
    </row>
    <row r="176" spans="5:28" x14ac:dyDescent="0.25">
      <c r="O176" s="18"/>
      <c r="R176" s="24"/>
    </row>
    <row r="177" spans="5:28" ht="39.950000000000003" customHeight="1" x14ac:dyDescent="0.25">
      <c r="E177" s="18"/>
      <c r="F177" s="4"/>
      <c r="G177" s="4"/>
      <c r="H177" s="4"/>
      <c r="I177" s="4"/>
      <c r="J177" s="4"/>
      <c r="K177" s="4"/>
      <c r="L177" s="4"/>
      <c r="M177" s="4"/>
      <c r="N177" s="4"/>
      <c r="P177" s="4"/>
      <c r="Q177" s="3"/>
      <c r="S177" s="24"/>
      <c r="T177" s="24"/>
      <c r="U177" s="24"/>
      <c r="W177" s="4"/>
      <c r="X177" s="4"/>
      <c r="Y177" s="4"/>
      <c r="Z177" s="4"/>
      <c r="AA177" s="4"/>
      <c r="AB177" s="4"/>
    </row>
    <row r="178" spans="5:28" x14ac:dyDescent="0.25">
      <c r="O178" s="18"/>
      <c r="R178" s="24"/>
    </row>
    <row r="179" spans="5:28" ht="39.950000000000003" customHeight="1" x14ac:dyDescent="0.25">
      <c r="E179" s="18"/>
      <c r="F179" s="4"/>
      <c r="G179" s="4"/>
      <c r="H179" s="4"/>
      <c r="I179" s="4"/>
      <c r="J179" s="4"/>
      <c r="K179" s="4"/>
      <c r="L179" s="4"/>
      <c r="M179" s="4"/>
      <c r="N179" s="4"/>
      <c r="P179" s="4"/>
      <c r="Q179" s="3"/>
      <c r="S179" s="24"/>
      <c r="T179" s="24"/>
      <c r="U179" s="24"/>
      <c r="W179" s="4"/>
      <c r="X179" s="4"/>
      <c r="Y179" s="4"/>
      <c r="Z179" s="4"/>
      <c r="AA179" s="4"/>
      <c r="AB179" s="4"/>
    </row>
    <row r="180" spans="5:28" ht="39.950000000000003" customHeight="1" x14ac:dyDescent="0.25">
      <c r="E180" s="18"/>
      <c r="F180" s="4"/>
      <c r="G180" s="4"/>
      <c r="H180" s="4"/>
      <c r="I180" s="4"/>
      <c r="J180" s="4"/>
      <c r="K180" s="4"/>
      <c r="L180" s="4"/>
      <c r="M180" s="4"/>
      <c r="N180" s="4"/>
      <c r="O180" s="18"/>
      <c r="P180" s="4"/>
      <c r="Q180" s="3"/>
      <c r="R180" s="24"/>
      <c r="S180" s="24"/>
      <c r="T180" s="24"/>
      <c r="U180" s="24"/>
      <c r="Z180" s="4"/>
      <c r="AA180" s="4"/>
      <c r="AB180" s="4"/>
    </row>
    <row r="181" spans="5:28" x14ac:dyDescent="0.25">
      <c r="O181" s="18"/>
      <c r="R181" s="24"/>
    </row>
    <row r="182" spans="5:28" ht="39.950000000000003" customHeight="1" x14ac:dyDescent="0.25">
      <c r="E182" s="18"/>
      <c r="F182" s="4"/>
      <c r="G182" s="4"/>
      <c r="H182" s="4"/>
      <c r="I182" s="4"/>
      <c r="J182" s="4"/>
      <c r="K182" s="4"/>
      <c r="L182" s="4"/>
      <c r="M182" s="4"/>
      <c r="N182" s="4"/>
      <c r="P182" s="4"/>
      <c r="Q182" s="3"/>
      <c r="S182" s="24"/>
      <c r="T182" s="24"/>
      <c r="U182" s="24"/>
      <c r="W182" s="3"/>
      <c r="X182" s="4"/>
      <c r="Y182" s="4"/>
      <c r="Z182" s="4"/>
      <c r="AA182" s="4"/>
      <c r="AB182" s="4"/>
    </row>
    <row r="183" spans="5:28" x14ac:dyDescent="0.25">
      <c r="O183" s="18"/>
      <c r="R183" s="24"/>
    </row>
    <row r="184" spans="5:28" ht="39.950000000000003" customHeight="1" x14ac:dyDescent="0.25">
      <c r="E184" s="18"/>
      <c r="F184" s="4"/>
      <c r="G184" s="4"/>
      <c r="H184" s="4"/>
      <c r="I184" s="4"/>
      <c r="J184" s="4"/>
      <c r="K184" s="4"/>
      <c r="L184" s="4"/>
      <c r="M184" s="4"/>
      <c r="N184" s="4"/>
      <c r="P184" s="4"/>
      <c r="Q184" s="3"/>
      <c r="S184" s="24"/>
      <c r="T184" s="24"/>
      <c r="U184" s="24"/>
      <c r="X184" s="4"/>
      <c r="Y184" s="4"/>
      <c r="Z184" s="4"/>
      <c r="AA184" s="4"/>
      <c r="AB184" s="4"/>
    </row>
    <row r="185" spans="5:28" x14ac:dyDescent="0.25">
      <c r="O185" s="18"/>
      <c r="R185" s="24"/>
    </row>
    <row r="188" spans="5:28" ht="39" customHeight="1" x14ac:dyDescent="0.25">
      <c r="E188" s="18"/>
      <c r="F188" s="4"/>
      <c r="G188" s="4"/>
      <c r="H188" s="4"/>
      <c r="I188" s="4"/>
      <c r="J188" s="4"/>
      <c r="K188" s="4"/>
      <c r="L188" s="4"/>
      <c r="M188" s="4"/>
      <c r="N188" s="4"/>
      <c r="P188" s="4"/>
      <c r="Q188" s="3"/>
      <c r="S188" s="24"/>
      <c r="T188" s="24"/>
      <c r="U188" s="24"/>
      <c r="W188" s="4"/>
      <c r="X188" s="4"/>
      <c r="Y188" s="4"/>
      <c r="Z188" s="4"/>
      <c r="AA188" s="4"/>
      <c r="AB188" s="4"/>
    </row>
    <row r="189" spans="5:28" x14ac:dyDescent="0.25">
      <c r="O189" s="18"/>
      <c r="R189" s="24"/>
    </row>
    <row r="192" spans="5:28" ht="39.950000000000003" customHeight="1" x14ac:dyDescent="0.25">
      <c r="E192" s="18"/>
      <c r="F192" s="4"/>
      <c r="G192" s="4"/>
      <c r="H192" s="4"/>
      <c r="I192" s="4"/>
      <c r="J192" s="4"/>
      <c r="K192" s="4"/>
      <c r="L192" s="4"/>
      <c r="M192" s="4"/>
      <c r="N192" s="4"/>
      <c r="P192" s="4"/>
      <c r="Q192" s="3"/>
      <c r="S192" s="24"/>
      <c r="T192" s="24"/>
      <c r="U192" s="24"/>
      <c r="W192" s="4"/>
      <c r="X192" s="4"/>
      <c r="Y192" s="4"/>
      <c r="Z192" s="4"/>
      <c r="AA192" s="4"/>
      <c r="AB192" s="4"/>
    </row>
    <row r="193" spans="5:28" ht="39.950000000000003" customHeight="1" x14ac:dyDescent="0.25">
      <c r="E193" s="18"/>
      <c r="F193" s="4"/>
      <c r="G193" s="4"/>
      <c r="H193" s="4"/>
      <c r="I193" s="4"/>
      <c r="J193" s="4"/>
      <c r="K193" s="4"/>
      <c r="L193" s="4"/>
      <c r="M193" s="4"/>
      <c r="N193" s="4"/>
      <c r="O193" s="18"/>
      <c r="P193" s="4"/>
      <c r="Q193" s="3"/>
      <c r="R193" s="24"/>
      <c r="S193" s="24"/>
      <c r="T193" s="24"/>
      <c r="U193" s="24"/>
      <c r="W193" s="4"/>
      <c r="X193" s="4"/>
      <c r="Y193" s="4"/>
      <c r="Z193" s="4"/>
      <c r="AA193" s="4"/>
      <c r="AB193" s="4"/>
    </row>
    <row r="194" spans="5:28" x14ac:dyDescent="0.25">
      <c r="O194" s="18"/>
      <c r="R194" s="24"/>
    </row>
    <row r="195" spans="5:28" ht="39" customHeight="1" x14ac:dyDescent="0.25">
      <c r="E195" s="18"/>
      <c r="F195" s="4"/>
      <c r="G195" s="4"/>
      <c r="H195" s="4"/>
      <c r="I195" s="4"/>
      <c r="J195" s="4"/>
      <c r="K195" s="4"/>
      <c r="L195" s="4"/>
      <c r="M195" s="4"/>
      <c r="N195" s="4"/>
      <c r="P195" s="4"/>
      <c r="Q195" s="3"/>
      <c r="S195" s="24"/>
      <c r="T195" s="24"/>
      <c r="U195" s="24"/>
      <c r="W195" s="4"/>
      <c r="X195" s="4"/>
      <c r="Y195" s="4"/>
      <c r="Z195" s="4"/>
      <c r="AA195" s="4"/>
      <c r="AB195" s="4"/>
    </row>
    <row r="196" spans="5:28" x14ac:dyDescent="0.25">
      <c r="O196" s="18"/>
      <c r="R196" s="24"/>
    </row>
    <row r="197" spans="5:28" ht="39.950000000000003" customHeight="1" x14ac:dyDescent="0.25">
      <c r="E197" s="18"/>
      <c r="F197" s="4"/>
      <c r="G197" s="4"/>
      <c r="H197" s="4"/>
      <c r="I197" s="4"/>
      <c r="J197" s="4"/>
      <c r="K197" s="4"/>
      <c r="L197" s="4"/>
      <c r="M197" s="4"/>
      <c r="N197" s="4"/>
      <c r="P197" s="4"/>
      <c r="Q197" s="3"/>
      <c r="S197" s="24"/>
      <c r="T197" s="24"/>
      <c r="U197" s="24"/>
      <c r="W197" s="4"/>
      <c r="X197" s="3"/>
      <c r="Y197" s="4"/>
      <c r="Z197" s="4"/>
      <c r="AA197" s="4"/>
      <c r="AB197" s="4"/>
    </row>
    <row r="198" spans="5:28" x14ac:dyDescent="0.25">
      <c r="O198" s="18"/>
      <c r="R198" s="24"/>
    </row>
  </sheetData>
  <mergeCells count="16">
    <mergeCell ref="D55:E55"/>
    <mergeCell ref="R17:U17"/>
    <mergeCell ref="K55:M55"/>
    <mergeCell ref="K56:M56"/>
    <mergeCell ref="R16:U16"/>
    <mergeCell ref="R18:U18"/>
    <mergeCell ref="R6:U6"/>
    <mergeCell ref="R7:U7"/>
    <mergeCell ref="R8:U8"/>
    <mergeCell ref="R15:U15"/>
    <mergeCell ref="R10:U10"/>
    <mergeCell ref="R14:U14"/>
    <mergeCell ref="R13:U13"/>
    <mergeCell ref="R12:U12"/>
    <mergeCell ref="R9:U9"/>
    <mergeCell ref="R11:U11"/>
  </mergeCells>
  <pageMargins left="0.51181102362204722" right="0.70866141732283472" top="0.62992125984251968" bottom="0.19685039370078741" header="0.31496062992125984" footer="0.23622047244094491"/>
  <pageSetup paperSize="5" scale="55" fitToHeight="0" orientation="landscape" r:id="rId1"/>
  <headerFooter>
    <oddFooter>&amp;CNomina Seguridad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9"/>
  </sheetPr>
  <dimension ref="A2:AC366"/>
  <sheetViews>
    <sheetView zoomScale="80" zoomScaleNormal="80" workbookViewId="0">
      <pane xSplit="5" ySplit="7" topLeftCell="G377" activePane="bottomRight" state="frozen"/>
      <selection pane="topRight" activeCell="F1" sqref="F1"/>
      <selection pane="bottomLeft" activeCell="A8" sqref="A8"/>
      <selection pane="bottomRight" activeCell="I129" sqref="I129"/>
    </sheetView>
  </sheetViews>
  <sheetFormatPr baseColWidth="10" defaultColWidth="11.42578125" defaultRowHeight="15" x14ac:dyDescent="0.25"/>
  <cols>
    <col min="1" max="1" width="8" style="13" customWidth="1"/>
    <col min="2" max="2" width="5.85546875" style="13" customWidth="1"/>
    <col min="3" max="3" width="25.5703125" customWidth="1"/>
    <col min="4" max="4" width="72.42578125" customWidth="1"/>
    <col min="5" max="5" width="28.140625" customWidth="1"/>
    <col min="6" max="6" width="20.42578125" customWidth="1"/>
    <col min="7" max="7" width="16.140625" customWidth="1"/>
    <col min="8" max="8" width="15.7109375" customWidth="1"/>
    <col min="9" max="9" width="19.5703125" style="18" customWidth="1"/>
    <col min="10" max="10" width="31.7109375" customWidth="1"/>
    <col min="11" max="11" width="60.28515625" customWidth="1"/>
    <col min="13" max="13" width="28.28515625" customWidth="1"/>
    <col min="14" max="14" width="17.7109375" customWidth="1"/>
    <col min="15" max="15" width="13.28515625" bestFit="1" customWidth="1"/>
    <col min="19" max="19" width="12.140625" bestFit="1" customWidth="1"/>
  </cols>
  <sheetData>
    <row r="2" spans="1:23" ht="20.25" customHeight="1" x14ac:dyDescent="0.3">
      <c r="C2" s="240" t="s">
        <v>0</v>
      </c>
      <c r="D2" s="240"/>
      <c r="E2" s="240"/>
      <c r="F2" s="111"/>
      <c r="G2" s="111"/>
      <c r="H2" s="111"/>
      <c r="I2" s="143"/>
      <c r="J2" s="111"/>
      <c r="K2" s="111"/>
      <c r="L2" s="39"/>
      <c r="M2" s="39"/>
    </row>
    <row r="3" spans="1:23" ht="19.5" customHeight="1" x14ac:dyDescent="0.3">
      <c r="C3" s="111"/>
      <c r="D3" s="111" t="s">
        <v>515</v>
      </c>
      <c r="E3" s="111"/>
      <c r="F3" s="111"/>
      <c r="G3" s="111"/>
      <c r="H3" s="111"/>
      <c r="I3" s="143"/>
      <c r="J3" s="111"/>
      <c r="K3" s="111"/>
      <c r="L3" s="39"/>
      <c r="M3" s="39"/>
    </row>
    <row r="4" spans="1:23" ht="18.75" x14ac:dyDescent="0.3">
      <c r="C4" s="111"/>
      <c r="D4" s="111"/>
      <c r="E4" s="111"/>
      <c r="F4" s="111"/>
      <c r="G4" s="111"/>
      <c r="H4" s="111"/>
      <c r="I4" s="143"/>
      <c r="J4" s="111"/>
      <c r="K4" s="111"/>
      <c r="L4" s="39"/>
      <c r="M4" s="39"/>
    </row>
    <row r="5" spans="1:23" ht="18.75" x14ac:dyDescent="0.3">
      <c r="C5" s="111"/>
      <c r="D5" s="210" t="s">
        <v>118</v>
      </c>
      <c r="E5" s="111"/>
      <c r="F5" s="111"/>
      <c r="G5" s="111"/>
      <c r="H5" s="111"/>
      <c r="I5" s="143"/>
      <c r="J5" s="173"/>
      <c r="K5" s="111"/>
      <c r="L5" s="39"/>
      <c r="M5" s="39"/>
    </row>
    <row r="6" spans="1:23" ht="33.75" customHeight="1" x14ac:dyDescent="0.3">
      <c r="C6" s="111"/>
      <c r="D6" s="138" t="s">
        <v>276</v>
      </c>
      <c r="E6" s="111"/>
      <c r="F6" s="111"/>
      <c r="G6" s="111"/>
      <c r="H6" s="111"/>
      <c r="I6" s="143"/>
      <c r="J6" s="111"/>
      <c r="K6" s="111"/>
      <c r="L6" s="39"/>
      <c r="M6" s="39"/>
    </row>
    <row r="7" spans="1:23" ht="43.5" customHeight="1" x14ac:dyDescent="0.3">
      <c r="B7" s="13" t="s">
        <v>401</v>
      </c>
      <c r="C7" s="82" t="s">
        <v>13</v>
      </c>
      <c r="D7" s="82"/>
      <c r="E7" s="82"/>
      <c r="F7" s="82" t="s">
        <v>112</v>
      </c>
      <c r="G7" s="82" t="s">
        <v>145</v>
      </c>
      <c r="H7" s="82" t="s">
        <v>114</v>
      </c>
      <c r="I7" s="82" t="s">
        <v>520</v>
      </c>
      <c r="J7" s="82" t="s">
        <v>113</v>
      </c>
      <c r="K7" s="164"/>
      <c r="L7" s="39"/>
      <c r="M7" s="39"/>
    </row>
    <row r="8" spans="1:23" ht="18.75" x14ac:dyDescent="0.3">
      <c r="C8" s="24"/>
      <c r="D8" s="13" t="s">
        <v>245</v>
      </c>
      <c r="F8" s="13"/>
      <c r="G8" s="153"/>
      <c r="H8" s="13"/>
      <c r="I8" s="154"/>
      <c r="J8" s="13"/>
      <c r="K8" s="111"/>
      <c r="L8" s="39"/>
      <c r="M8" s="39"/>
    </row>
    <row r="9" spans="1:23" ht="30.75" customHeight="1" x14ac:dyDescent="0.3">
      <c r="A9" s="13" t="s">
        <v>162</v>
      </c>
      <c r="B9" s="13">
        <v>1</v>
      </c>
      <c r="C9" t="s">
        <v>94</v>
      </c>
      <c r="D9" t="s">
        <v>199</v>
      </c>
      <c r="E9" t="s">
        <v>136</v>
      </c>
      <c r="F9" s="25">
        <v>4492.8</v>
      </c>
      <c r="G9" s="25">
        <v>0</v>
      </c>
      <c r="H9" s="25">
        <v>0</v>
      </c>
      <c r="I9" s="25">
        <v>0</v>
      </c>
      <c r="J9" s="12">
        <f>F9+G9-H9-I9</f>
        <v>4492.8</v>
      </c>
      <c r="K9" s="141"/>
      <c r="L9" s="55"/>
      <c r="M9" s="55"/>
    </row>
    <row r="10" spans="1:23" ht="54.75" customHeight="1" x14ac:dyDescent="0.3">
      <c r="B10" s="13">
        <v>2</v>
      </c>
      <c r="C10" t="s">
        <v>94</v>
      </c>
      <c r="D10" t="s">
        <v>366</v>
      </c>
      <c r="E10" t="s">
        <v>367</v>
      </c>
      <c r="F10" s="35">
        <v>2289.6</v>
      </c>
      <c r="G10" s="15">
        <v>0</v>
      </c>
      <c r="H10" s="15">
        <v>0</v>
      </c>
      <c r="I10" s="35">
        <v>0</v>
      </c>
      <c r="J10" s="155">
        <f>F10+G10-H10-I10</f>
        <v>2289.6</v>
      </c>
      <c r="K10" s="141"/>
      <c r="L10" s="55"/>
      <c r="M10" s="55"/>
      <c r="V10" t="s">
        <v>454</v>
      </c>
      <c r="W10">
        <v>2000</v>
      </c>
    </row>
    <row r="11" spans="1:23" ht="31.5" customHeight="1" x14ac:dyDescent="0.3">
      <c r="F11" s="78">
        <f>SUM(F9:F10)</f>
        <v>6782.4</v>
      </c>
      <c r="G11" s="23">
        <f>SUM(G9:G10)</f>
        <v>0</v>
      </c>
      <c r="H11" s="23">
        <f>SUM(H9:H10)</f>
        <v>0</v>
      </c>
      <c r="I11" s="78">
        <f>SUM(I9:I10)</f>
        <v>0</v>
      </c>
      <c r="J11" s="22">
        <f>SUM(J9:J10)</f>
        <v>6782.4</v>
      </c>
      <c r="K11" s="137"/>
      <c r="L11" s="66"/>
      <c r="M11" s="39"/>
      <c r="V11" t="s">
        <v>455</v>
      </c>
      <c r="W11">
        <f>W10-500</f>
        <v>1500</v>
      </c>
    </row>
    <row r="12" spans="1:23" ht="16.5" customHeight="1" x14ac:dyDescent="0.3">
      <c r="C12" s="24"/>
      <c r="D12" s="13" t="s">
        <v>344</v>
      </c>
      <c r="F12" s="13"/>
      <c r="G12" s="153"/>
      <c r="H12" s="13"/>
      <c r="I12" s="154"/>
      <c r="J12" s="13"/>
      <c r="K12" s="111"/>
      <c r="L12" s="66"/>
      <c r="M12" s="39"/>
      <c r="V12" t="s">
        <v>455</v>
      </c>
    </row>
    <row r="13" spans="1:23" ht="21.75" customHeight="1" x14ac:dyDescent="0.3">
      <c r="B13" s="13">
        <v>3</v>
      </c>
      <c r="C13" t="s">
        <v>94</v>
      </c>
      <c r="D13" t="s">
        <v>345</v>
      </c>
      <c r="E13" t="s">
        <v>90</v>
      </c>
      <c r="F13" s="35">
        <v>3571.56</v>
      </c>
      <c r="G13" s="15">
        <v>0</v>
      </c>
      <c r="H13" s="15"/>
      <c r="I13" s="35">
        <v>500</v>
      </c>
      <c r="J13" s="155">
        <f>F13+G13-H13-I13</f>
        <v>3071.56</v>
      </c>
      <c r="K13" s="141"/>
      <c r="L13" s="66"/>
      <c r="M13" s="39"/>
      <c r="P13" t="s">
        <v>403</v>
      </c>
      <c r="V13" t="s">
        <v>468</v>
      </c>
    </row>
    <row r="14" spans="1:23" ht="25.5" customHeight="1" x14ac:dyDescent="0.3">
      <c r="F14" s="78">
        <f>SUM(F13)</f>
        <v>3571.56</v>
      </c>
      <c r="G14" s="23">
        <f>SUM(G13)</f>
        <v>0</v>
      </c>
      <c r="H14" s="23">
        <f>+H13</f>
        <v>0</v>
      </c>
      <c r="I14" s="78">
        <f>SUM(I13)</f>
        <v>500</v>
      </c>
      <c r="J14" s="22">
        <f>SUM(J13)</f>
        <v>3071.56</v>
      </c>
      <c r="K14" s="137"/>
      <c r="L14" s="66"/>
      <c r="M14" s="39"/>
    </row>
    <row r="15" spans="1:23" ht="18.75" x14ac:dyDescent="0.3">
      <c r="D15" s="13" t="s">
        <v>192</v>
      </c>
      <c r="K15" s="111"/>
      <c r="L15" s="39"/>
      <c r="M15" s="39"/>
    </row>
    <row r="16" spans="1:23" ht="23.25" customHeight="1" x14ac:dyDescent="0.3">
      <c r="B16" s="13">
        <v>4</v>
      </c>
      <c r="C16" t="s">
        <v>94</v>
      </c>
      <c r="D16" t="s">
        <v>347</v>
      </c>
      <c r="E16" t="s">
        <v>348</v>
      </c>
      <c r="F16" s="155">
        <v>2381.4</v>
      </c>
      <c r="G16" s="155"/>
      <c r="H16" s="155"/>
      <c r="I16" s="155"/>
      <c r="J16" s="155">
        <f>F16+G16-H16-I16</f>
        <v>2381.4</v>
      </c>
      <c r="K16" s="141"/>
      <c r="L16" s="39"/>
      <c r="M16" s="39"/>
    </row>
    <row r="17" spans="1:17" ht="26.25" hidden="1" customHeight="1" x14ac:dyDescent="0.3">
      <c r="F17" s="155"/>
      <c r="G17" s="155"/>
      <c r="H17" s="155"/>
      <c r="I17" s="155"/>
      <c r="J17" s="155"/>
      <c r="K17" s="141"/>
      <c r="L17" s="39"/>
      <c r="M17" s="39"/>
    </row>
    <row r="18" spans="1:17" ht="24.75" customHeight="1" x14ac:dyDescent="0.3">
      <c r="F18" s="22">
        <f>SUM(F16:F17)</f>
        <v>2381.4</v>
      </c>
      <c r="G18" s="22">
        <f>G16</f>
        <v>0</v>
      </c>
      <c r="H18" s="22">
        <f ca="1">SUM(H18:H18)</f>
        <v>0</v>
      </c>
      <c r="I18" s="22">
        <f>SUM(N30)</f>
        <v>0</v>
      </c>
      <c r="J18" s="22">
        <f>SUM(J16:J17)</f>
        <v>2381.4</v>
      </c>
      <c r="K18" s="111"/>
    </row>
    <row r="19" spans="1:17" ht="18.75" x14ac:dyDescent="0.3">
      <c r="D19" s="13" t="s">
        <v>130</v>
      </c>
      <c r="K19" s="111"/>
    </row>
    <row r="20" spans="1:17" ht="31.5" customHeight="1" x14ac:dyDescent="0.3">
      <c r="A20" s="13" t="s">
        <v>162</v>
      </c>
      <c r="B20" s="13">
        <v>5</v>
      </c>
      <c r="C20" t="s">
        <v>94</v>
      </c>
      <c r="D20" t="s">
        <v>251</v>
      </c>
      <c r="E20" t="s">
        <v>252</v>
      </c>
      <c r="F20" s="25">
        <v>4320</v>
      </c>
      <c r="G20" s="10">
        <v>0</v>
      </c>
      <c r="H20" s="10">
        <v>0</v>
      </c>
      <c r="I20" s="25">
        <v>500</v>
      </c>
      <c r="J20" s="12">
        <f t="shared" ref="J20:J26" si="0">F20+G20-H20-I20</f>
        <v>3820</v>
      </c>
      <c r="K20" s="141"/>
    </row>
    <row r="21" spans="1:17" ht="48" customHeight="1" x14ac:dyDescent="0.3">
      <c r="B21" s="13">
        <v>6</v>
      </c>
      <c r="C21" t="s">
        <v>94</v>
      </c>
      <c r="D21" t="s">
        <v>354</v>
      </c>
      <c r="E21" t="s">
        <v>252</v>
      </c>
      <c r="F21" s="25">
        <v>2862</v>
      </c>
      <c r="G21" s="10"/>
      <c r="H21" s="10"/>
      <c r="I21" s="25">
        <v>0</v>
      </c>
      <c r="J21" s="12">
        <f t="shared" si="0"/>
        <v>2862</v>
      </c>
      <c r="K21" s="141"/>
    </row>
    <row r="22" spans="1:17" ht="45" customHeight="1" x14ac:dyDescent="0.3">
      <c r="B22" s="13">
        <v>7</v>
      </c>
      <c r="C22" t="s">
        <v>94</v>
      </c>
      <c r="D22" t="s">
        <v>373</v>
      </c>
      <c r="E22" t="s">
        <v>376</v>
      </c>
      <c r="F22" s="25">
        <v>3780</v>
      </c>
      <c r="G22" s="178">
        <f>500+(F22/15*5)</f>
        <v>1760</v>
      </c>
      <c r="H22" s="10">
        <v>0</v>
      </c>
      <c r="I22" s="25">
        <v>0</v>
      </c>
      <c r="J22" s="12">
        <f t="shared" si="0"/>
        <v>5540</v>
      </c>
      <c r="K22" s="141"/>
    </row>
    <row r="23" spans="1:17" s="16" customFormat="1" ht="45" customHeight="1" x14ac:dyDescent="0.3">
      <c r="A23" s="13" t="s">
        <v>445</v>
      </c>
      <c r="B23" s="13">
        <v>8</v>
      </c>
      <c r="C23" t="s">
        <v>94</v>
      </c>
      <c r="D23" t="s">
        <v>432</v>
      </c>
      <c r="E23" t="s">
        <v>252</v>
      </c>
      <c r="F23" s="25">
        <v>2862</v>
      </c>
      <c r="G23" s="23"/>
      <c r="H23" s="23"/>
      <c r="I23" s="78"/>
      <c r="J23" s="12">
        <f t="shared" si="0"/>
        <v>2862</v>
      </c>
      <c r="K23" s="176"/>
    </row>
    <row r="24" spans="1:17" s="16" customFormat="1" ht="45" customHeight="1" x14ac:dyDescent="0.3">
      <c r="A24" s="13" t="s">
        <v>445</v>
      </c>
      <c r="B24" s="13">
        <v>9</v>
      </c>
      <c r="C24" t="s">
        <v>94</v>
      </c>
      <c r="D24" t="s">
        <v>427</v>
      </c>
      <c r="E24" t="s">
        <v>428</v>
      </c>
      <c r="F24" s="25">
        <v>3780</v>
      </c>
      <c r="G24" s="178">
        <f>500+(F24/15*4)</f>
        <v>1508</v>
      </c>
      <c r="H24" s="23"/>
      <c r="I24" s="177"/>
      <c r="J24" s="12">
        <f t="shared" si="0"/>
        <v>5288</v>
      </c>
      <c r="K24" s="176"/>
    </row>
    <row r="25" spans="1:17" s="16" customFormat="1" ht="45" customHeight="1" x14ac:dyDescent="0.3">
      <c r="A25" s="13" t="s">
        <v>445</v>
      </c>
      <c r="B25" s="13">
        <v>10</v>
      </c>
      <c r="C25" t="s">
        <v>94</v>
      </c>
      <c r="D25" t="s">
        <v>429</v>
      </c>
      <c r="E25" t="s">
        <v>430</v>
      </c>
      <c r="F25" s="25">
        <v>3240</v>
      </c>
      <c r="G25" s="23"/>
      <c r="H25" s="23"/>
      <c r="I25" s="78"/>
      <c r="J25" s="12">
        <f t="shared" si="0"/>
        <v>3240</v>
      </c>
      <c r="K25" s="176"/>
    </row>
    <row r="26" spans="1:17" s="16" customFormat="1" ht="45" customHeight="1" x14ac:dyDescent="0.3">
      <c r="A26" s="13" t="s">
        <v>445</v>
      </c>
      <c r="B26" s="13">
        <v>11</v>
      </c>
      <c r="C26" t="s">
        <v>94</v>
      </c>
      <c r="D26" t="s">
        <v>418</v>
      </c>
      <c r="E26" t="s">
        <v>49</v>
      </c>
      <c r="F26" s="25">
        <v>3564</v>
      </c>
      <c r="G26" s="178">
        <f>F26/15*5</f>
        <v>1188</v>
      </c>
      <c r="H26" s="23"/>
      <c r="I26" s="78"/>
      <c r="J26" s="12">
        <f t="shared" si="0"/>
        <v>4752</v>
      </c>
      <c r="K26" s="176"/>
    </row>
    <row r="27" spans="1:17" ht="46.5" customHeight="1" x14ac:dyDescent="0.3">
      <c r="B27" s="13">
        <v>12</v>
      </c>
      <c r="C27" t="s">
        <v>94</v>
      </c>
      <c r="D27" t="s">
        <v>495</v>
      </c>
      <c r="E27" t="s">
        <v>265</v>
      </c>
      <c r="F27" s="25">
        <v>3571.56</v>
      </c>
      <c r="G27" s="10"/>
      <c r="H27" s="10"/>
      <c r="I27" s="25"/>
      <c r="J27" s="12">
        <f>+F27+G27-H27-I27</f>
        <v>3571.56</v>
      </c>
      <c r="K27" s="141"/>
    </row>
    <row r="28" spans="1:17" ht="49.5" customHeight="1" x14ac:dyDescent="0.3">
      <c r="B28" s="13">
        <v>13</v>
      </c>
      <c r="C28" t="s">
        <v>94</v>
      </c>
      <c r="D28" t="s">
        <v>480</v>
      </c>
      <c r="E28" t="s">
        <v>265</v>
      </c>
      <c r="F28" s="35">
        <v>2289.6</v>
      </c>
      <c r="G28" s="35">
        <v>0</v>
      </c>
      <c r="H28" s="35">
        <v>0</v>
      </c>
      <c r="I28" s="35">
        <v>0</v>
      </c>
      <c r="J28" s="155">
        <f>F28+G28-H28-I28</f>
        <v>2289.6</v>
      </c>
      <c r="K28" s="141"/>
    </row>
    <row r="29" spans="1:17" ht="28.5" customHeight="1" x14ac:dyDescent="0.3">
      <c r="F29" s="78">
        <f>SUM(F20:F28)</f>
        <v>30269.16</v>
      </c>
      <c r="G29" s="23">
        <f>SUM(G20:G28)</f>
        <v>4456</v>
      </c>
      <c r="H29" s="23">
        <f>SUM(H20:H28)</f>
        <v>0</v>
      </c>
      <c r="I29" s="78">
        <f>SUM(I20:I28)</f>
        <v>500</v>
      </c>
      <c r="J29" s="22">
        <f>SUM(J20:J28)</f>
        <v>34225.160000000003</v>
      </c>
      <c r="K29" s="111"/>
    </row>
    <row r="30" spans="1:17" ht="31.5" customHeight="1" x14ac:dyDescent="0.3">
      <c r="D30" s="13" t="s">
        <v>137</v>
      </c>
      <c r="F30" s="78"/>
      <c r="G30" s="23"/>
      <c r="H30" s="23"/>
      <c r="I30" s="78"/>
      <c r="J30" s="22"/>
      <c r="K30" s="137"/>
      <c r="L30" s="55"/>
      <c r="M30" s="55"/>
      <c r="Q30">
        <f>+F20/15*10</f>
        <v>2880</v>
      </c>
    </row>
    <row r="31" spans="1:17" ht="31.5" customHeight="1" x14ac:dyDescent="0.3">
      <c r="A31" s="13" t="s">
        <v>162</v>
      </c>
      <c r="B31" s="13">
        <v>14</v>
      </c>
      <c r="C31" t="s">
        <v>94</v>
      </c>
      <c r="D31" s="183" t="s">
        <v>481</v>
      </c>
      <c r="E31" s="183" t="s">
        <v>90</v>
      </c>
      <c r="F31" s="25">
        <v>3668.76</v>
      </c>
      <c r="G31" s="207"/>
      <c r="H31" s="10">
        <v>0</v>
      </c>
      <c r="I31" s="25"/>
      <c r="J31" s="12">
        <f>F31+G31-H31-I31</f>
        <v>3668.76</v>
      </c>
      <c r="K31" s="141"/>
      <c r="L31" s="55"/>
      <c r="M31" s="55"/>
    </row>
    <row r="32" spans="1:17" ht="55.5" customHeight="1" x14ac:dyDescent="0.3">
      <c r="B32" s="13">
        <v>15</v>
      </c>
      <c r="C32" t="s">
        <v>94</v>
      </c>
      <c r="D32" s="183" t="s">
        <v>485</v>
      </c>
      <c r="E32" s="183" t="s">
        <v>482</v>
      </c>
      <c r="F32" s="25">
        <v>2862</v>
      </c>
      <c r="G32" s="10">
        <v>0</v>
      </c>
      <c r="H32" s="10"/>
      <c r="I32" s="25"/>
      <c r="J32" s="12">
        <f>F32+G32-H32-I32</f>
        <v>2862</v>
      </c>
      <c r="K32" s="141"/>
      <c r="L32" s="55" t="s">
        <v>343</v>
      </c>
      <c r="M32" s="55"/>
    </row>
    <row r="33" spans="1:13" ht="54.75" customHeight="1" x14ac:dyDescent="0.3">
      <c r="B33" s="13">
        <v>16</v>
      </c>
      <c r="C33" t="s">
        <v>94</v>
      </c>
      <c r="D33" s="183" t="s">
        <v>484</v>
      </c>
      <c r="E33" s="183" t="s">
        <v>483</v>
      </c>
      <c r="F33" s="163">
        <v>2060.64</v>
      </c>
      <c r="G33" s="172">
        <f>SUM(G32)</f>
        <v>0</v>
      </c>
      <c r="H33" s="172"/>
      <c r="I33" s="163">
        <v>0</v>
      </c>
      <c r="J33" s="155">
        <f>F33+G33-H33-I33</f>
        <v>2060.64</v>
      </c>
      <c r="K33" s="141"/>
      <c r="L33" s="55"/>
      <c r="M33" s="55"/>
    </row>
    <row r="34" spans="1:13" ht="25.5" customHeight="1" x14ac:dyDescent="0.3">
      <c r="D34" s="240" t="s">
        <v>0</v>
      </c>
      <c r="E34" s="240"/>
      <c r="F34" s="240"/>
      <c r="G34" s="10"/>
      <c r="H34" s="10"/>
      <c r="I34" s="25"/>
      <c r="J34" s="12"/>
      <c r="K34" s="140"/>
      <c r="L34" s="55"/>
      <c r="M34" s="55"/>
    </row>
    <row r="35" spans="1:13" ht="25.5" customHeight="1" x14ac:dyDescent="0.3">
      <c r="D35" s="231" t="s">
        <v>516</v>
      </c>
      <c r="E35" s="231"/>
      <c r="F35" s="231"/>
      <c r="G35" s="231"/>
      <c r="H35" s="10"/>
      <c r="I35" s="25"/>
      <c r="J35" s="173" t="s">
        <v>517</v>
      </c>
      <c r="K35" s="140"/>
      <c r="L35" s="55"/>
      <c r="M35" s="55"/>
    </row>
    <row r="36" spans="1:13" ht="33" customHeight="1" x14ac:dyDescent="0.3">
      <c r="C36" s="82" t="s">
        <v>13</v>
      </c>
      <c r="D36" s="82"/>
      <c r="E36" s="82"/>
      <c r="F36" s="82" t="s">
        <v>112</v>
      </c>
      <c r="G36" s="82" t="s">
        <v>145</v>
      </c>
      <c r="H36" s="82" t="s">
        <v>114</v>
      </c>
      <c r="I36" s="82" t="s">
        <v>144</v>
      </c>
      <c r="J36" s="82" t="s">
        <v>113</v>
      </c>
      <c r="K36" s="140"/>
      <c r="L36" s="55"/>
      <c r="M36" s="55"/>
    </row>
    <row r="37" spans="1:13" ht="26.25" customHeight="1" x14ac:dyDescent="0.3">
      <c r="C37" s="84"/>
      <c r="D37" s="13" t="s">
        <v>137</v>
      </c>
      <c r="E37" s="84"/>
      <c r="F37" s="84"/>
      <c r="G37" s="84"/>
      <c r="H37" s="84"/>
      <c r="I37" s="84"/>
      <c r="J37" s="84"/>
      <c r="K37" s="140"/>
      <c r="L37" s="55"/>
      <c r="M37" s="55"/>
    </row>
    <row r="38" spans="1:13" ht="26.25" customHeight="1" x14ac:dyDescent="0.3">
      <c r="C38" s="84"/>
      <c r="D38" s="13"/>
      <c r="E38" s="84"/>
      <c r="F38" s="84"/>
      <c r="G38" s="84"/>
      <c r="H38" s="84"/>
      <c r="I38" s="84"/>
      <c r="J38" s="84"/>
      <c r="K38" s="140"/>
      <c r="L38" s="55"/>
      <c r="M38" s="55"/>
    </row>
    <row r="39" spans="1:13" ht="39.75" customHeight="1" x14ac:dyDescent="0.3">
      <c r="B39" s="13">
        <v>17</v>
      </c>
      <c r="C39" t="s">
        <v>94</v>
      </c>
      <c r="D39" t="s">
        <v>413</v>
      </c>
      <c r="E39" t="s">
        <v>79</v>
      </c>
      <c r="F39" s="25">
        <v>2518.56</v>
      </c>
      <c r="G39" s="10"/>
      <c r="H39" s="10">
        <f>F39/15*1</f>
        <v>167.904</v>
      </c>
      <c r="I39" s="25"/>
      <c r="J39" s="12">
        <f>+F39+G39-H39-I39</f>
        <v>2350.6559999999999</v>
      </c>
      <c r="K39" s="141"/>
      <c r="L39" s="55"/>
      <c r="M39" s="55"/>
    </row>
    <row r="40" spans="1:13" ht="39.75" customHeight="1" x14ac:dyDescent="0.3">
      <c r="B40" s="13">
        <v>18</v>
      </c>
      <c r="C40" t="s">
        <v>94</v>
      </c>
      <c r="D40" t="s">
        <v>414</v>
      </c>
      <c r="E40" t="s">
        <v>79</v>
      </c>
      <c r="F40" s="25">
        <v>2518.56</v>
      </c>
      <c r="G40" s="10"/>
      <c r="H40" s="10"/>
      <c r="I40" s="25"/>
      <c r="J40" s="12">
        <f>F40+G40-H40-I40</f>
        <v>2518.56</v>
      </c>
      <c r="K40" s="141"/>
      <c r="L40" s="55"/>
      <c r="M40" s="55"/>
    </row>
    <row r="41" spans="1:13" ht="51.75" hidden="1" customHeight="1" x14ac:dyDescent="0.3">
      <c r="F41" s="25">
        <v>0</v>
      </c>
      <c r="G41" s="10"/>
      <c r="H41" s="10"/>
      <c r="I41" s="25"/>
      <c r="J41" s="12"/>
      <c r="K41" s="141"/>
      <c r="L41" s="55"/>
      <c r="M41" s="55"/>
    </row>
    <row r="42" spans="1:13" ht="51.75" customHeight="1" x14ac:dyDescent="0.3">
      <c r="B42" s="13">
        <v>19</v>
      </c>
      <c r="C42" t="s">
        <v>94</v>
      </c>
      <c r="D42" t="s">
        <v>390</v>
      </c>
      <c r="E42" t="s">
        <v>378</v>
      </c>
      <c r="F42" s="25">
        <v>1620</v>
      </c>
      <c r="G42" s="10">
        <v>0</v>
      </c>
      <c r="H42" s="10">
        <v>0</v>
      </c>
      <c r="I42" s="25">
        <v>0</v>
      </c>
      <c r="J42" s="12">
        <f>F42+G42-H42-I42</f>
        <v>1620</v>
      </c>
      <c r="K42" s="141"/>
      <c r="L42" s="55"/>
      <c r="M42" s="55"/>
    </row>
    <row r="43" spans="1:13" ht="51.75" customHeight="1" x14ac:dyDescent="0.3">
      <c r="B43" s="13">
        <v>20</v>
      </c>
      <c r="C43" t="s">
        <v>94</v>
      </c>
      <c r="D43" t="s">
        <v>396</v>
      </c>
      <c r="E43" t="s">
        <v>503</v>
      </c>
      <c r="F43" s="25">
        <v>3240</v>
      </c>
      <c r="G43" s="10">
        <v>0</v>
      </c>
      <c r="H43" s="10">
        <v>0</v>
      </c>
      <c r="I43" s="25">
        <v>0</v>
      </c>
      <c r="J43" s="12">
        <f>F43+G43-H43-I43</f>
        <v>3240</v>
      </c>
      <c r="K43" s="141"/>
      <c r="L43" s="55"/>
      <c r="M43" s="55"/>
    </row>
    <row r="44" spans="1:13" ht="45" customHeight="1" x14ac:dyDescent="0.3">
      <c r="B44" s="13">
        <v>21</v>
      </c>
      <c r="C44" t="s">
        <v>94</v>
      </c>
      <c r="D44" t="s">
        <v>357</v>
      </c>
      <c r="E44" t="s">
        <v>358</v>
      </c>
      <c r="F44" s="25">
        <v>2518.56</v>
      </c>
      <c r="G44" s="10"/>
      <c r="H44" s="10">
        <v>0</v>
      </c>
      <c r="I44" s="25">
        <v>0</v>
      </c>
      <c r="J44" s="12">
        <f>+F44-G2+G44-H44-I44</f>
        <v>2518.56</v>
      </c>
      <c r="K44" s="141"/>
      <c r="L44" s="55"/>
      <c r="M44" s="55"/>
    </row>
    <row r="45" spans="1:13" ht="43.5" customHeight="1" x14ac:dyDescent="0.3">
      <c r="B45" s="13">
        <v>22</v>
      </c>
      <c r="C45" t="s">
        <v>94</v>
      </c>
      <c r="D45" t="s">
        <v>279</v>
      </c>
      <c r="E45" t="s">
        <v>280</v>
      </c>
      <c r="F45" s="25">
        <v>3434.4</v>
      </c>
      <c r="G45" s="10"/>
      <c r="H45" s="10">
        <v>0</v>
      </c>
      <c r="I45" s="25">
        <v>0</v>
      </c>
      <c r="J45" s="12">
        <f>F45+G45-H45-I45</f>
        <v>3434.4</v>
      </c>
      <c r="K45" s="141"/>
      <c r="L45" s="55"/>
      <c r="M45" s="55"/>
    </row>
    <row r="46" spans="1:13" ht="46.5" customHeight="1" x14ac:dyDescent="0.3">
      <c r="B46" s="13">
        <v>23</v>
      </c>
      <c r="C46" t="s">
        <v>94</v>
      </c>
      <c r="D46" t="s">
        <v>379</v>
      </c>
      <c r="E46" t="s">
        <v>378</v>
      </c>
      <c r="F46" s="25">
        <v>1080</v>
      </c>
      <c r="G46" s="10">
        <v>0</v>
      </c>
      <c r="H46" s="10">
        <v>0</v>
      </c>
      <c r="I46" s="25">
        <v>0</v>
      </c>
      <c r="J46" s="12">
        <f t="shared" ref="J46:J56" si="1">F46+G46-H46-I46</f>
        <v>1080</v>
      </c>
      <c r="K46" s="141"/>
      <c r="L46" s="55"/>
      <c r="M46" s="55"/>
    </row>
    <row r="47" spans="1:13" ht="51" customHeight="1" x14ac:dyDescent="0.3">
      <c r="B47" s="13">
        <v>24</v>
      </c>
      <c r="C47" t="s">
        <v>94</v>
      </c>
      <c r="D47" t="s">
        <v>369</v>
      </c>
      <c r="E47" t="s">
        <v>368</v>
      </c>
      <c r="F47" s="25">
        <v>2747.52</v>
      </c>
      <c r="G47" s="10">
        <v>0</v>
      </c>
      <c r="H47" s="10">
        <v>0</v>
      </c>
      <c r="I47" s="25">
        <v>0</v>
      </c>
      <c r="J47" s="12">
        <f t="shared" si="1"/>
        <v>2747.52</v>
      </c>
      <c r="K47" s="141"/>
      <c r="L47" s="55"/>
      <c r="M47" s="55"/>
    </row>
    <row r="48" spans="1:13" ht="51" customHeight="1" x14ac:dyDescent="0.3">
      <c r="A48" s="13" t="s">
        <v>451</v>
      </c>
      <c r="B48" s="13">
        <v>25</v>
      </c>
      <c r="C48" t="s">
        <v>94</v>
      </c>
      <c r="D48" t="s">
        <v>452</v>
      </c>
      <c r="E48" t="s">
        <v>453</v>
      </c>
      <c r="F48" s="25">
        <v>2976.48</v>
      </c>
      <c r="G48" s="10"/>
      <c r="H48" s="10"/>
      <c r="I48" s="25"/>
      <c r="J48" s="12">
        <f>F48+G48-H48-I48</f>
        <v>2976.48</v>
      </c>
      <c r="K48" s="141"/>
      <c r="L48" s="55"/>
      <c r="M48" s="55"/>
    </row>
    <row r="49" spans="1:14" s="16" customFormat="1" ht="51" customHeight="1" x14ac:dyDescent="0.3">
      <c r="A49" s="13" t="s">
        <v>445</v>
      </c>
      <c r="B49" s="13">
        <v>26</v>
      </c>
      <c r="C49" t="s">
        <v>94</v>
      </c>
      <c r="D49" t="s">
        <v>426</v>
      </c>
      <c r="E49" t="s">
        <v>79</v>
      </c>
      <c r="F49" s="25">
        <v>2518.56</v>
      </c>
      <c r="G49" s="23"/>
      <c r="H49" s="178"/>
      <c r="I49" s="177"/>
      <c r="J49" s="12">
        <f>F49+G49-H49-I49</f>
        <v>2518.56</v>
      </c>
      <c r="K49" s="176"/>
      <c r="L49" s="51"/>
      <c r="M49" s="51"/>
    </row>
    <row r="50" spans="1:14" s="16" customFormat="1" ht="51" customHeight="1" x14ac:dyDescent="0.3">
      <c r="A50" s="13" t="s">
        <v>445</v>
      </c>
      <c r="B50" s="13">
        <v>27</v>
      </c>
      <c r="C50" t="s">
        <v>94</v>
      </c>
      <c r="D50" t="s">
        <v>497</v>
      </c>
      <c r="E50" t="s">
        <v>439</v>
      </c>
      <c r="F50" s="25">
        <v>2289.6</v>
      </c>
      <c r="G50" s="178"/>
      <c r="H50" s="178">
        <v>0</v>
      </c>
      <c r="I50" s="177"/>
      <c r="J50" s="12">
        <f t="shared" si="1"/>
        <v>2289.6</v>
      </c>
      <c r="K50" s="176"/>
      <c r="L50" s="51"/>
      <c r="M50" s="51"/>
    </row>
    <row r="51" spans="1:14" s="16" customFormat="1" ht="51" customHeight="1" x14ac:dyDescent="0.3">
      <c r="A51" s="13" t="s">
        <v>445</v>
      </c>
      <c r="B51" s="13">
        <v>28</v>
      </c>
      <c r="C51" t="s">
        <v>94</v>
      </c>
      <c r="D51" t="s">
        <v>436</v>
      </c>
      <c r="E51" t="s">
        <v>79</v>
      </c>
      <c r="F51" s="25">
        <v>2289.6</v>
      </c>
      <c r="G51" s="23"/>
      <c r="H51" s="178"/>
      <c r="I51" s="177"/>
      <c r="J51" s="12">
        <f t="shared" si="1"/>
        <v>2289.6</v>
      </c>
      <c r="K51" s="176"/>
      <c r="L51" s="51"/>
      <c r="M51" s="51"/>
    </row>
    <row r="52" spans="1:14" s="16" customFormat="1" ht="51" customHeight="1" x14ac:dyDescent="0.3">
      <c r="A52" s="13" t="s">
        <v>458</v>
      </c>
      <c r="B52" s="13">
        <v>29</v>
      </c>
      <c r="C52" t="str">
        <f>+C51</f>
        <v>5.1.1.2.0-122-401-00</v>
      </c>
      <c r="D52" t="s">
        <v>459</v>
      </c>
      <c r="E52" t="s">
        <v>79</v>
      </c>
      <c r="F52" s="25">
        <v>2518.56</v>
      </c>
      <c r="G52" s="23"/>
      <c r="H52" s="178"/>
      <c r="I52" s="177"/>
      <c r="J52" s="12">
        <f>F52+G52-H52-I52</f>
        <v>2518.56</v>
      </c>
      <c r="K52" s="176"/>
      <c r="L52" s="51"/>
      <c r="M52" s="51"/>
    </row>
    <row r="53" spans="1:14" s="16" customFormat="1" ht="51" customHeight="1" x14ac:dyDescent="0.3">
      <c r="A53" s="13" t="s">
        <v>445</v>
      </c>
      <c r="B53" s="13">
        <v>30</v>
      </c>
      <c r="C53" t="s">
        <v>94</v>
      </c>
      <c r="D53" t="s">
        <v>421</v>
      </c>
      <c r="E53" t="s">
        <v>79</v>
      </c>
      <c r="F53" s="25">
        <v>1944</v>
      </c>
      <c r="G53" s="23"/>
      <c r="H53" s="178">
        <f>F53/15*3</f>
        <v>388.79999999999995</v>
      </c>
      <c r="I53" s="177"/>
      <c r="J53" s="12">
        <f t="shared" si="1"/>
        <v>1555.2</v>
      </c>
      <c r="K53" s="176"/>
      <c r="L53" s="51"/>
      <c r="M53" s="51"/>
    </row>
    <row r="54" spans="1:14" s="16" customFormat="1" ht="51" customHeight="1" x14ac:dyDescent="0.3">
      <c r="A54" s="13" t="s">
        <v>445</v>
      </c>
      <c r="B54" s="13">
        <v>31</v>
      </c>
      <c r="C54" t="s">
        <v>94</v>
      </c>
      <c r="D54" t="s">
        <v>419</v>
      </c>
      <c r="E54" t="s">
        <v>420</v>
      </c>
      <c r="F54" s="25">
        <v>2764.8</v>
      </c>
      <c r="G54" s="23"/>
      <c r="H54" s="23"/>
      <c r="I54" s="78"/>
      <c r="J54" s="12">
        <f t="shared" si="1"/>
        <v>2764.8</v>
      </c>
      <c r="K54" s="176"/>
      <c r="L54" s="51"/>
      <c r="M54" s="51"/>
    </row>
    <row r="55" spans="1:14" s="16" customFormat="1" ht="51" customHeight="1" x14ac:dyDescent="0.3">
      <c r="A55" s="13" t="s">
        <v>445</v>
      </c>
      <c r="B55" s="13">
        <v>32</v>
      </c>
      <c r="C55" t="s">
        <v>94</v>
      </c>
      <c r="D55" t="s">
        <v>415</v>
      </c>
      <c r="E55" t="s">
        <v>79</v>
      </c>
      <c r="F55" s="25">
        <v>2289.6</v>
      </c>
      <c r="G55" s="178"/>
      <c r="H55" s="23"/>
      <c r="I55" s="78"/>
      <c r="J55" s="12">
        <f t="shared" si="1"/>
        <v>2289.6</v>
      </c>
      <c r="K55" s="176"/>
      <c r="L55" s="51"/>
      <c r="M55" s="51"/>
    </row>
    <row r="56" spans="1:14" ht="55.5" customHeight="1" x14ac:dyDescent="0.3">
      <c r="B56" s="13">
        <v>33</v>
      </c>
      <c r="C56" t="s">
        <v>94</v>
      </c>
      <c r="D56" t="s">
        <v>292</v>
      </c>
      <c r="E56" t="s">
        <v>293</v>
      </c>
      <c r="F56" s="35">
        <v>0</v>
      </c>
      <c r="G56" s="15">
        <v>0</v>
      </c>
      <c r="H56" s="15">
        <v>0</v>
      </c>
      <c r="I56" s="35">
        <v>0</v>
      </c>
      <c r="J56" s="155">
        <f t="shared" si="1"/>
        <v>0</v>
      </c>
      <c r="K56" s="141"/>
      <c r="L56" s="55"/>
      <c r="M56" s="55"/>
    </row>
    <row r="57" spans="1:14" ht="26.25" customHeight="1" x14ac:dyDescent="0.3">
      <c r="F57" s="36">
        <f>F31+F32+F33+F39+F40+F41+F437+F42+F43+F44+F45+F46+F47+F48+F49+F50+F51+F52+F53+F54+F55+F56</f>
        <v>47860.2</v>
      </c>
      <c r="G57" s="36">
        <f>SUM(G31:G56)</f>
        <v>0</v>
      </c>
      <c r="H57" s="36">
        <f>H31+H32+H33+H39+H40+H41+H42+H43+H44+H45+H46+H47+H48+H49+H50+H51+H52+H53+H54+H55+H56</f>
        <v>556.70399999999995</v>
      </c>
      <c r="I57" s="36">
        <f>I31+I32+I33+I39+I40+I41+I42+I43+I44+I45+I46+I47+I48+I49+I50+I51+I52+I53+I54+I55+I56</f>
        <v>0</v>
      </c>
      <c r="J57" s="36">
        <f>J31+J32+J33+J39+J40+J41+J42+J43+J44+J45+J46+J47+J48+J49+J50+J51+J52+J53+J54+J55+J56</f>
        <v>47303.495999999999</v>
      </c>
      <c r="K57" s="137"/>
      <c r="L57" s="55"/>
      <c r="M57" s="55"/>
      <c r="N57" s="4"/>
    </row>
    <row r="58" spans="1:14" ht="18.75" customHeight="1" x14ac:dyDescent="0.3">
      <c r="D58" s="13" t="s">
        <v>133</v>
      </c>
      <c r="F58" s="36"/>
      <c r="G58" s="36"/>
      <c r="H58" s="36"/>
      <c r="I58" s="36"/>
      <c r="J58" s="36"/>
      <c r="K58" s="137"/>
      <c r="L58" s="55"/>
      <c r="M58" s="55"/>
      <c r="N58" s="4"/>
    </row>
    <row r="59" spans="1:14" ht="48" customHeight="1" x14ac:dyDescent="0.3">
      <c r="B59" s="13">
        <v>34</v>
      </c>
      <c r="C59" t="s">
        <v>94</v>
      </c>
      <c r="D59" t="s">
        <v>460</v>
      </c>
      <c r="E59" t="s">
        <v>462</v>
      </c>
      <c r="F59" s="182">
        <v>7143.66</v>
      </c>
      <c r="G59" s="182">
        <f>F59/15*5+(250*5)</f>
        <v>3631.22</v>
      </c>
      <c r="H59" s="182">
        <v>0</v>
      </c>
      <c r="I59" s="182">
        <v>750</v>
      </c>
      <c r="J59" s="182">
        <f>F59+G59-H59-I59</f>
        <v>10024.879999999999</v>
      </c>
      <c r="K59" s="140"/>
      <c r="L59" s="51" t="s">
        <v>360</v>
      </c>
      <c r="M59" s="51"/>
      <c r="N59" s="4"/>
    </row>
    <row r="60" spans="1:14" ht="50.25" hidden="1" customHeight="1" x14ac:dyDescent="0.3">
      <c r="F60" s="182"/>
      <c r="G60" s="182"/>
      <c r="H60" s="182">
        <v>0</v>
      </c>
      <c r="I60" s="182">
        <v>0</v>
      </c>
      <c r="J60" s="182"/>
      <c r="K60" s="140"/>
      <c r="L60" s="55"/>
      <c r="M60" s="55"/>
      <c r="N60" s="4"/>
    </row>
    <row r="61" spans="1:14" ht="36.75" hidden="1" customHeight="1" x14ac:dyDescent="0.3">
      <c r="F61" s="182"/>
      <c r="G61" s="182"/>
      <c r="H61" s="182"/>
      <c r="I61" s="182"/>
      <c r="J61" s="182"/>
      <c r="K61" s="140"/>
      <c r="L61" s="55"/>
      <c r="M61" s="55"/>
      <c r="N61" s="4"/>
    </row>
    <row r="62" spans="1:14" ht="43.5" customHeight="1" x14ac:dyDescent="0.3">
      <c r="B62" s="13">
        <v>35</v>
      </c>
      <c r="C62" t="s">
        <v>94</v>
      </c>
      <c r="D62" t="s">
        <v>461</v>
      </c>
      <c r="E62" t="s">
        <v>463</v>
      </c>
      <c r="F62" s="163">
        <v>4860</v>
      </c>
      <c r="G62" s="163">
        <f>250*10+(F62/15*1)</f>
        <v>2824</v>
      </c>
      <c r="H62" s="163">
        <v>0</v>
      </c>
      <c r="I62" s="163"/>
      <c r="J62" s="163">
        <f>F62+G62-H62-I62</f>
        <v>7684</v>
      </c>
      <c r="K62" s="141"/>
      <c r="L62" s="55"/>
      <c r="M62" s="55"/>
      <c r="N62" s="4"/>
    </row>
    <row r="63" spans="1:14" ht="26.25" customHeight="1" x14ac:dyDescent="0.3">
      <c r="F63" s="36">
        <f>F59+F62</f>
        <v>12003.66</v>
      </c>
      <c r="G63" s="36">
        <f>G59+G62</f>
        <v>6455.2199999999993</v>
      </c>
      <c r="H63" s="36">
        <f>H59+H62</f>
        <v>0</v>
      </c>
      <c r="I63" s="36">
        <f>I59+I62</f>
        <v>750</v>
      </c>
      <c r="J63" s="36">
        <f>J59+J62</f>
        <v>17708.879999999997</v>
      </c>
      <c r="K63" s="137"/>
      <c r="L63" s="55"/>
      <c r="M63" s="55"/>
      <c r="N63" s="4"/>
    </row>
    <row r="64" spans="1:14" ht="19.5" customHeight="1" x14ac:dyDescent="0.3">
      <c r="D64" s="13" t="s">
        <v>43</v>
      </c>
      <c r="F64" s="25"/>
      <c r="G64" s="10"/>
      <c r="H64" s="10"/>
      <c r="I64" s="25"/>
      <c r="J64" s="12"/>
      <c r="K64" s="137"/>
      <c r="L64" s="55"/>
      <c r="M64" s="55"/>
      <c r="N64" s="4"/>
    </row>
    <row r="65" spans="1:16" ht="57" customHeight="1" x14ac:dyDescent="0.3">
      <c r="B65" s="13">
        <v>36</v>
      </c>
      <c r="C65" t="s">
        <v>94</v>
      </c>
      <c r="D65" t="s">
        <v>393</v>
      </c>
      <c r="E65" t="s">
        <v>394</v>
      </c>
      <c r="F65" s="25">
        <v>5023.674</v>
      </c>
      <c r="G65" s="10"/>
      <c r="H65" s="10"/>
      <c r="I65" s="25"/>
      <c r="J65" s="12">
        <f t="shared" ref="J65:J70" si="2">F65+G65-H65-I65</f>
        <v>5023.674</v>
      </c>
      <c r="K65" s="141"/>
      <c r="L65" s="55"/>
      <c r="M65" s="55"/>
      <c r="N65" s="4"/>
    </row>
    <row r="66" spans="1:16" s="16" customFormat="1" ht="57" customHeight="1" x14ac:dyDescent="0.3">
      <c r="A66" s="13" t="s">
        <v>445</v>
      </c>
      <c r="B66" s="13">
        <v>37</v>
      </c>
      <c r="C66" t="s">
        <v>94</v>
      </c>
      <c r="D66" t="s">
        <v>422</v>
      </c>
      <c r="E66" t="s">
        <v>423</v>
      </c>
      <c r="F66" s="25">
        <v>5184</v>
      </c>
      <c r="G66" s="178">
        <v>0</v>
      </c>
      <c r="H66" s="178"/>
      <c r="I66" s="78"/>
      <c r="J66" s="12">
        <f>F66+G66-H66-I66</f>
        <v>5184</v>
      </c>
      <c r="K66" s="176"/>
      <c r="L66" s="51"/>
      <c r="M66" s="51"/>
      <c r="N66" s="11"/>
    </row>
    <row r="67" spans="1:16" s="16" customFormat="1" ht="57" customHeight="1" x14ac:dyDescent="0.3">
      <c r="A67" s="13" t="s">
        <v>445</v>
      </c>
      <c r="B67" s="13">
        <v>38</v>
      </c>
      <c r="C67" t="s">
        <v>94</v>
      </c>
      <c r="D67" t="s">
        <v>431</v>
      </c>
      <c r="E67" t="s">
        <v>119</v>
      </c>
      <c r="F67" s="25">
        <v>3434.4</v>
      </c>
      <c r="G67" s="178"/>
      <c r="H67" s="23"/>
      <c r="I67" s="78"/>
      <c r="J67" s="12">
        <f t="shared" si="2"/>
        <v>3434.4</v>
      </c>
      <c r="K67" s="176"/>
      <c r="L67" s="51"/>
      <c r="M67" s="51"/>
      <c r="N67" s="11"/>
    </row>
    <row r="68" spans="1:16" s="16" customFormat="1" ht="57" customHeight="1" x14ac:dyDescent="0.3">
      <c r="A68" s="13" t="s">
        <v>445</v>
      </c>
      <c r="B68" s="13">
        <v>39</v>
      </c>
      <c r="C68" t="s">
        <v>94</v>
      </c>
      <c r="D68" t="s">
        <v>444</v>
      </c>
      <c r="E68" t="s">
        <v>136</v>
      </c>
      <c r="F68" s="25">
        <v>4860</v>
      </c>
      <c r="G68" s="178"/>
      <c r="H68" s="23"/>
      <c r="I68" s="78"/>
      <c r="J68" s="12">
        <f>F68+G68-H68-I68</f>
        <v>4860</v>
      </c>
      <c r="K68" s="176"/>
      <c r="L68" s="51"/>
      <c r="M68" s="51"/>
      <c r="N68" s="11"/>
    </row>
    <row r="69" spans="1:16" s="16" customFormat="1" ht="57" customHeight="1" x14ac:dyDescent="0.3">
      <c r="A69" s="13" t="s">
        <v>445</v>
      </c>
      <c r="B69" s="13">
        <v>40</v>
      </c>
      <c r="C69" t="s">
        <v>94</v>
      </c>
      <c r="D69" t="s">
        <v>442</v>
      </c>
      <c r="E69" t="s">
        <v>119</v>
      </c>
      <c r="F69" s="25">
        <v>3434.4</v>
      </c>
      <c r="G69" s="178">
        <f>250+(F69/15*2)</f>
        <v>707.92000000000007</v>
      </c>
      <c r="H69" s="178">
        <v>0</v>
      </c>
      <c r="I69" s="78"/>
      <c r="J69" s="12">
        <f t="shared" si="2"/>
        <v>4142.32</v>
      </c>
      <c r="K69" s="176"/>
      <c r="L69" s="51"/>
      <c r="M69" s="51"/>
      <c r="N69" s="11"/>
    </row>
    <row r="70" spans="1:16" s="16" customFormat="1" ht="57" customHeight="1" x14ac:dyDescent="0.3">
      <c r="A70" s="13" t="s">
        <v>445</v>
      </c>
      <c r="B70" s="13">
        <v>41</v>
      </c>
      <c r="C70" t="s">
        <v>94</v>
      </c>
      <c r="D70" t="s">
        <v>417</v>
      </c>
      <c r="E70" t="s">
        <v>119</v>
      </c>
      <c r="F70" s="25">
        <v>3434.4</v>
      </c>
      <c r="G70" s="23"/>
      <c r="H70" s="23"/>
      <c r="I70" s="78"/>
      <c r="J70" s="12">
        <f t="shared" si="2"/>
        <v>3434.4</v>
      </c>
      <c r="K70" s="176"/>
      <c r="L70" s="51"/>
      <c r="M70" s="51"/>
      <c r="N70" s="11"/>
    </row>
    <row r="71" spans="1:16" ht="60.75" customHeight="1" x14ac:dyDescent="0.3">
      <c r="B71" s="13">
        <v>42</v>
      </c>
      <c r="C71" t="s">
        <v>94</v>
      </c>
      <c r="D71" t="s">
        <v>260</v>
      </c>
      <c r="E71" t="s">
        <v>261</v>
      </c>
      <c r="F71" s="35">
        <v>3024</v>
      </c>
      <c r="G71" s="15">
        <v>0</v>
      </c>
      <c r="H71" s="15">
        <f>F71/15*1</f>
        <v>201.6</v>
      </c>
      <c r="I71" s="35">
        <v>0</v>
      </c>
      <c r="J71" s="155">
        <f>F71+G71-H71-I71</f>
        <v>2822.4</v>
      </c>
      <c r="K71" s="141"/>
      <c r="L71" s="55"/>
      <c r="M71" s="55"/>
      <c r="N71" s="4"/>
      <c r="P71" s="110"/>
    </row>
    <row r="72" spans="1:16" ht="29.25" customHeight="1" x14ac:dyDescent="0.3">
      <c r="A72" s="13" t="s">
        <v>162</v>
      </c>
      <c r="F72" s="36">
        <f>SUM(F65:F71)</f>
        <v>28394.874000000003</v>
      </c>
      <c r="G72" s="36">
        <f>SUM(G65:G71)</f>
        <v>707.92000000000007</v>
      </c>
      <c r="H72" s="36">
        <f>SUM(H65:H71)</f>
        <v>201.6</v>
      </c>
      <c r="I72" s="36">
        <f>SUM(I65:I71)</f>
        <v>0</v>
      </c>
      <c r="J72" s="22">
        <f>SUM(J65:J71)</f>
        <v>28901.194000000003</v>
      </c>
      <c r="K72" s="137"/>
      <c r="L72" s="55"/>
      <c r="M72" s="55"/>
      <c r="N72" s="28"/>
    </row>
    <row r="73" spans="1:16" ht="26.25" customHeight="1" x14ac:dyDescent="0.3">
      <c r="D73" s="13" t="s">
        <v>128</v>
      </c>
      <c r="F73" s="18"/>
      <c r="G73" s="4"/>
      <c r="H73" s="4"/>
      <c r="J73" s="12"/>
      <c r="K73" s="137"/>
      <c r="L73" s="55"/>
      <c r="M73" s="55"/>
      <c r="N73" s="4"/>
    </row>
    <row r="74" spans="1:16" ht="36.75" customHeight="1" x14ac:dyDescent="0.3">
      <c r="B74" s="13">
        <v>43</v>
      </c>
      <c r="C74" t="s">
        <v>94</v>
      </c>
      <c r="D74" t="s">
        <v>355</v>
      </c>
      <c r="E74" t="s">
        <v>356</v>
      </c>
      <c r="F74" s="25">
        <v>3780</v>
      </c>
      <c r="G74" s="10">
        <v>0</v>
      </c>
      <c r="H74" s="10">
        <v>0</v>
      </c>
      <c r="I74" s="25">
        <v>0</v>
      </c>
      <c r="J74" s="12">
        <f>F74+G74-H74-I74</f>
        <v>3780</v>
      </c>
      <c r="K74" s="141"/>
      <c r="L74" s="55"/>
      <c r="M74" s="55"/>
      <c r="N74" s="4"/>
    </row>
    <row r="75" spans="1:16" ht="19.5" customHeight="1" x14ac:dyDescent="0.3">
      <c r="F75" s="38">
        <f>SUM(F74:F74)</f>
        <v>3780</v>
      </c>
      <c r="G75" s="156">
        <f>SUM(G74)</f>
        <v>0</v>
      </c>
      <c r="H75" s="156">
        <f>SUM(H74:H74)</f>
        <v>0</v>
      </c>
      <c r="I75" s="38"/>
      <c r="J75" s="156">
        <f>SUM(J74:J74)</f>
        <v>3780</v>
      </c>
      <c r="K75" s="137"/>
      <c r="L75" s="55"/>
      <c r="M75" s="55"/>
      <c r="N75" s="4"/>
    </row>
    <row r="76" spans="1:16" ht="30" customHeight="1" x14ac:dyDescent="0.3">
      <c r="D76" s="13" t="s">
        <v>129</v>
      </c>
      <c r="F76" s="25"/>
      <c r="G76" s="10"/>
      <c r="H76" s="10"/>
      <c r="I76" s="25"/>
      <c r="J76" s="12"/>
      <c r="K76" s="137"/>
      <c r="L76" s="55"/>
      <c r="M76" s="55"/>
      <c r="N76" s="4"/>
    </row>
    <row r="77" spans="1:16" ht="30" customHeight="1" x14ac:dyDescent="0.3">
      <c r="B77" s="13">
        <v>44</v>
      </c>
      <c r="C77" t="s">
        <v>94</v>
      </c>
      <c r="D77" t="s">
        <v>349</v>
      </c>
      <c r="E77" t="s">
        <v>350</v>
      </c>
      <c r="F77" s="25">
        <v>3780</v>
      </c>
      <c r="G77" s="10">
        <v>400</v>
      </c>
      <c r="H77" s="10">
        <v>0</v>
      </c>
      <c r="I77" s="25">
        <v>0</v>
      </c>
      <c r="J77" s="12">
        <f>F77+G77-H77-I77</f>
        <v>4180</v>
      </c>
      <c r="K77" s="141"/>
      <c r="L77" s="55"/>
      <c r="M77" s="55"/>
      <c r="N77" s="4"/>
    </row>
    <row r="78" spans="1:16" ht="26.25" customHeight="1" x14ac:dyDescent="0.3">
      <c r="D78" s="240" t="s">
        <v>0</v>
      </c>
      <c r="E78" s="240"/>
      <c r="F78" s="240"/>
      <c r="G78" s="10"/>
      <c r="H78" s="10"/>
      <c r="I78" s="25"/>
      <c r="J78" s="12"/>
      <c r="K78" s="140"/>
      <c r="L78" s="55"/>
      <c r="M78" s="55"/>
      <c r="N78" s="4"/>
    </row>
    <row r="79" spans="1:16" ht="30" customHeight="1" x14ac:dyDescent="0.3">
      <c r="D79" s="243" t="s">
        <v>516</v>
      </c>
      <c r="E79" s="243"/>
      <c r="F79" s="243"/>
      <c r="G79" s="243"/>
      <c r="H79" s="10"/>
      <c r="I79" s="25"/>
      <c r="J79" s="173" t="s">
        <v>517</v>
      </c>
      <c r="K79" s="140"/>
      <c r="L79" s="55"/>
      <c r="M79" s="55"/>
      <c r="N79" s="4"/>
    </row>
    <row r="80" spans="1:16" ht="28.5" customHeight="1" x14ac:dyDescent="0.3">
      <c r="C80" s="82" t="s">
        <v>13</v>
      </c>
      <c r="D80" s="82"/>
      <c r="E80" s="82"/>
      <c r="F80" s="82" t="s">
        <v>112</v>
      </c>
      <c r="G80" s="82" t="s">
        <v>145</v>
      </c>
      <c r="H80" s="82" t="s">
        <v>114</v>
      </c>
      <c r="I80" s="82" t="s">
        <v>144</v>
      </c>
      <c r="J80" s="82" t="s">
        <v>113</v>
      </c>
      <c r="K80" s="140"/>
      <c r="L80" s="55"/>
      <c r="M80" s="55"/>
      <c r="N80" s="4"/>
    </row>
    <row r="81" spans="1:15" ht="30" customHeight="1" x14ac:dyDescent="0.3">
      <c r="C81" s="84"/>
      <c r="D81" s="13" t="s">
        <v>129</v>
      </c>
      <c r="E81" s="84"/>
      <c r="F81" s="84"/>
      <c r="G81" s="84"/>
      <c r="H81" s="84"/>
      <c r="I81" s="84"/>
      <c r="J81" s="84"/>
      <c r="K81" s="139"/>
      <c r="L81" s="54"/>
      <c r="M81" s="54"/>
      <c r="N81" s="18"/>
    </row>
    <row r="82" spans="1:15" s="16" customFormat="1" ht="30" customHeight="1" x14ac:dyDescent="0.3">
      <c r="A82" s="13" t="s">
        <v>445</v>
      </c>
      <c r="B82" s="13">
        <v>45</v>
      </c>
      <c r="C82" t="s">
        <v>94</v>
      </c>
      <c r="D82" s="183" t="s">
        <v>437</v>
      </c>
      <c r="E82" s="186" t="s">
        <v>258</v>
      </c>
      <c r="F82" s="177">
        <v>3434.4</v>
      </c>
      <c r="G82" s="187"/>
      <c r="H82" s="187"/>
      <c r="I82" s="187"/>
      <c r="J82" s="71">
        <f>F82+G82+H82-I82</f>
        <v>3434.4</v>
      </c>
      <c r="K82" s="208"/>
      <c r="L82" s="60"/>
      <c r="M82" s="60"/>
      <c r="N82" s="36"/>
    </row>
    <row r="83" spans="1:15" ht="35.25" customHeight="1" x14ac:dyDescent="0.3">
      <c r="A83" s="13" t="s">
        <v>162</v>
      </c>
      <c r="B83" s="13">
        <v>46</v>
      </c>
      <c r="C83" t="s">
        <v>94</v>
      </c>
      <c r="D83" t="s">
        <v>253</v>
      </c>
      <c r="E83" t="s">
        <v>89</v>
      </c>
      <c r="F83" s="25">
        <v>3456</v>
      </c>
      <c r="G83" s="10">
        <v>0</v>
      </c>
      <c r="H83" s="10">
        <v>0</v>
      </c>
      <c r="I83" s="25">
        <v>0</v>
      </c>
      <c r="J83" s="12">
        <f>F83+G83-H83-I83</f>
        <v>3456</v>
      </c>
      <c r="K83" s="141"/>
      <c r="L83" s="55"/>
      <c r="M83" s="55"/>
      <c r="N83" s="3"/>
      <c r="O83" s="17"/>
    </row>
    <row r="84" spans="1:15" ht="49.5" customHeight="1" x14ac:dyDescent="0.3">
      <c r="A84" s="13" t="s">
        <v>195</v>
      </c>
      <c r="B84" s="13">
        <v>47</v>
      </c>
      <c r="C84" t="s">
        <v>94</v>
      </c>
      <c r="D84" t="s">
        <v>168</v>
      </c>
      <c r="E84" t="s">
        <v>258</v>
      </c>
      <c r="F84" s="25">
        <v>3434.4</v>
      </c>
      <c r="G84" s="10">
        <v>0</v>
      </c>
      <c r="H84" s="10">
        <v>0</v>
      </c>
      <c r="I84" s="25">
        <v>0</v>
      </c>
      <c r="J84" s="12">
        <f>F84+G84-H84-I84</f>
        <v>3434.4</v>
      </c>
      <c r="K84" s="141"/>
      <c r="L84" s="55"/>
      <c r="M84" s="55"/>
      <c r="N84" s="4"/>
    </row>
    <row r="85" spans="1:15" ht="33.75" customHeight="1" x14ac:dyDescent="0.3">
      <c r="F85" s="38">
        <f>SUM(F77:F84)</f>
        <v>14104.8</v>
      </c>
      <c r="G85" s="38">
        <f>SUM(G77:G84)</f>
        <v>400</v>
      </c>
      <c r="H85" s="38">
        <f>SUM(H77:H84)</f>
        <v>0</v>
      </c>
      <c r="I85" s="38">
        <f>SUM(I77:I84)</f>
        <v>0</v>
      </c>
      <c r="J85" s="38">
        <f>J77+J82+J83+J84</f>
        <v>14504.8</v>
      </c>
      <c r="K85" s="130"/>
      <c r="L85" s="55"/>
      <c r="M85" s="55"/>
      <c r="N85" s="4"/>
    </row>
    <row r="86" spans="1:15" ht="23.25" customHeight="1" x14ac:dyDescent="0.3">
      <c r="D86" s="13" t="s">
        <v>138</v>
      </c>
      <c r="F86" s="18"/>
      <c r="G86" s="18"/>
      <c r="H86" s="18"/>
      <c r="J86" s="12"/>
      <c r="K86" s="137"/>
      <c r="L86" s="55"/>
      <c r="M86" s="55"/>
      <c r="N86" s="4"/>
    </row>
    <row r="87" spans="1:15" ht="57" customHeight="1" x14ac:dyDescent="0.3">
      <c r="A87" s="13" t="s">
        <v>162</v>
      </c>
      <c r="B87" s="13">
        <v>48</v>
      </c>
      <c r="C87" t="s">
        <v>94</v>
      </c>
      <c r="D87" t="s">
        <v>254</v>
      </c>
      <c r="E87" t="s">
        <v>116</v>
      </c>
      <c r="F87" s="18">
        <v>4536</v>
      </c>
      <c r="G87" s="181"/>
      <c r="H87" s="4">
        <v>0</v>
      </c>
      <c r="I87" s="18">
        <v>0</v>
      </c>
      <c r="J87" s="12">
        <f>F87+G87-H87-I87</f>
        <v>4536</v>
      </c>
      <c r="K87" s="141"/>
      <c r="L87" s="55"/>
      <c r="M87" s="55"/>
      <c r="N87" s="4"/>
    </row>
    <row r="88" spans="1:15" ht="58.5" hidden="1" customHeight="1" x14ac:dyDescent="0.3">
      <c r="F88" s="18">
        <v>0</v>
      </c>
      <c r="G88" s="181"/>
      <c r="H88" s="4"/>
      <c r="J88" s="12"/>
      <c r="K88" s="140"/>
      <c r="L88" s="51"/>
      <c r="M88" s="55">
        <v>4200</v>
      </c>
      <c r="N88" s="4">
        <v>0</v>
      </c>
    </row>
    <row r="89" spans="1:15" ht="54.75" customHeight="1" x14ac:dyDescent="0.3">
      <c r="B89" s="13">
        <v>49</v>
      </c>
      <c r="C89" t="s">
        <v>94</v>
      </c>
      <c r="D89" t="s">
        <v>397</v>
      </c>
      <c r="E89" t="s">
        <v>116</v>
      </c>
      <c r="F89" s="18">
        <v>4536</v>
      </c>
      <c r="G89" s="181">
        <v>0</v>
      </c>
      <c r="H89" s="4">
        <v>0</v>
      </c>
      <c r="I89" s="18">
        <v>0</v>
      </c>
      <c r="J89" s="12">
        <f>F89+G89-H89-I89</f>
        <v>4536</v>
      </c>
      <c r="K89" s="141"/>
      <c r="L89" s="51"/>
      <c r="M89" s="55"/>
      <c r="N89" s="65"/>
    </row>
    <row r="90" spans="1:15" ht="59.25" customHeight="1" x14ac:dyDescent="0.3">
      <c r="B90" s="13">
        <v>50</v>
      </c>
      <c r="C90" t="s">
        <v>94</v>
      </c>
      <c r="D90" t="s">
        <v>381</v>
      </c>
      <c r="E90" t="s">
        <v>116</v>
      </c>
      <c r="F90" s="18">
        <v>4536</v>
      </c>
      <c r="G90" s="181">
        <v>0</v>
      </c>
      <c r="H90" s="4">
        <v>0</v>
      </c>
      <c r="I90" s="18">
        <v>0</v>
      </c>
      <c r="J90" s="12">
        <f>F90+G90-H90-I90</f>
        <v>4536</v>
      </c>
      <c r="K90" s="141"/>
      <c r="L90" s="51"/>
      <c r="M90" s="55"/>
      <c r="N90" s="65"/>
    </row>
    <row r="91" spans="1:15" ht="59.25" hidden="1" customHeight="1" x14ac:dyDescent="0.3">
      <c r="F91" s="18">
        <v>0</v>
      </c>
      <c r="G91" s="181"/>
      <c r="H91" s="4"/>
      <c r="J91" s="12"/>
      <c r="K91" s="141"/>
      <c r="L91" s="51"/>
      <c r="M91" s="55"/>
      <c r="N91" s="65"/>
    </row>
    <row r="92" spans="1:15" ht="58.5" customHeight="1" x14ac:dyDescent="0.3">
      <c r="B92" s="13">
        <v>51</v>
      </c>
      <c r="C92" t="s">
        <v>94</v>
      </c>
      <c r="D92" t="s">
        <v>382</v>
      </c>
      <c r="E92" t="s">
        <v>116</v>
      </c>
      <c r="F92" s="18">
        <v>4536</v>
      </c>
      <c r="G92" s="181"/>
      <c r="H92" s="4">
        <v>0</v>
      </c>
      <c r="I92" s="18">
        <v>0</v>
      </c>
      <c r="J92" s="12">
        <f>F92+G92-H92-I92</f>
        <v>4536</v>
      </c>
      <c r="K92" s="141"/>
      <c r="L92" s="51"/>
      <c r="M92" s="55"/>
      <c r="N92" s="65"/>
    </row>
    <row r="93" spans="1:15" ht="45.75" customHeight="1" x14ac:dyDescent="0.3">
      <c r="A93" s="13" t="s">
        <v>162</v>
      </c>
      <c r="B93" s="13">
        <v>52</v>
      </c>
      <c r="C93" t="s">
        <v>94</v>
      </c>
      <c r="D93" t="s">
        <v>255</v>
      </c>
      <c r="E93" t="s">
        <v>116</v>
      </c>
      <c r="F93" s="18">
        <v>4536</v>
      </c>
      <c r="G93" s="181"/>
      <c r="H93" s="4">
        <v>0</v>
      </c>
      <c r="I93" s="18">
        <v>0</v>
      </c>
      <c r="J93" s="12">
        <f>F93+G93-H93-I93</f>
        <v>4536</v>
      </c>
      <c r="K93" s="141"/>
      <c r="L93" s="55"/>
      <c r="M93" s="55"/>
      <c r="N93" s="4">
        <f>SUM(N88:N88)</f>
        <v>0</v>
      </c>
    </row>
    <row r="94" spans="1:15" ht="51" customHeight="1" x14ac:dyDescent="0.3">
      <c r="B94" s="13">
        <v>53</v>
      </c>
      <c r="C94" t="s">
        <v>94</v>
      </c>
      <c r="D94" t="s">
        <v>256</v>
      </c>
      <c r="E94" t="s">
        <v>116</v>
      </c>
      <c r="F94" s="18">
        <v>4536</v>
      </c>
      <c r="G94" s="181"/>
      <c r="H94" s="4">
        <v>0</v>
      </c>
      <c r="I94" s="18">
        <v>0</v>
      </c>
      <c r="J94" s="12">
        <f>F94+G94-H94-I94</f>
        <v>4536</v>
      </c>
      <c r="K94" s="141"/>
      <c r="L94" s="55"/>
      <c r="M94" s="55"/>
      <c r="N94" s="4"/>
    </row>
    <row r="95" spans="1:15" ht="50.25" customHeight="1" x14ac:dyDescent="0.3">
      <c r="B95" s="13">
        <v>54</v>
      </c>
      <c r="C95" t="s">
        <v>94</v>
      </c>
      <c r="D95" t="s">
        <v>257</v>
      </c>
      <c r="E95" t="s">
        <v>116</v>
      </c>
      <c r="F95" s="18">
        <v>4536</v>
      </c>
      <c r="G95" s="181"/>
      <c r="H95" s="4">
        <v>0</v>
      </c>
      <c r="I95" s="18">
        <v>0</v>
      </c>
      <c r="J95" s="12">
        <f>F95+G95-H95-I95</f>
        <v>4536</v>
      </c>
      <c r="K95" s="141"/>
      <c r="L95" s="55"/>
      <c r="M95" s="55"/>
      <c r="N95" s="4"/>
    </row>
    <row r="96" spans="1:15" ht="58.5" customHeight="1" x14ac:dyDescent="0.3">
      <c r="A96" s="13" t="s">
        <v>162</v>
      </c>
      <c r="B96" s="13">
        <v>55</v>
      </c>
      <c r="C96" t="s">
        <v>94</v>
      </c>
      <c r="D96" t="s">
        <v>374</v>
      </c>
      <c r="E96" t="s">
        <v>116</v>
      </c>
      <c r="F96" s="79">
        <v>4536</v>
      </c>
      <c r="G96" s="163"/>
      <c r="H96" s="35">
        <v>0</v>
      </c>
      <c r="I96" s="35">
        <v>0</v>
      </c>
      <c r="J96" s="155">
        <f>F96+G96-H96-I96</f>
        <v>4536</v>
      </c>
      <c r="K96" s="142"/>
      <c r="L96" s="54"/>
      <c r="M96" s="54"/>
      <c r="N96" s="18"/>
    </row>
    <row r="97" spans="1:29" ht="24" customHeight="1" x14ac:dyDescent="0.3">
      <c r="F97" s="78">
        <f>SUM(F87:F96)</f>
        <v>36288</v>
      </c>
      <c r="G97" s="23">
        <f>SUM(G87:G96)</f>
        <v>0</v>
      </c>
      <c r="H97" s="23">
        <f>SUM(H87:H96)</f>
        <v>0</v>
      </c>
      <c r="I97" s="78">
        <f>SUM(I87:I96)</f>
        <v>0</v>
      </c>
      <c r="J97" s="23">
        <f>SUM(J87:J96)</f>
        <v>36288</v>
      </c>
      <c r="K97" s="137"/>
      <c r="L97" s="55"/>
      <c r="M97" s="55"/>
      <c r="N97" s="4"/>
    </row>
    <row r="98" spans="1:29" ht="35.25" customHeight="1" x14ac:dyDescent="0.3">
      <c r="D98" s="242" t="s">
        <v>0</v>
      </c>
      <c r="E98" s="242"/>
      <c r="F98" s="242"/>
      <c r="G98" s="36"/>
      <c r="H98" s="36"/>
      <c r="I98" s="36"/>
      <c r="J98" s="36"/>
      <c r="K98" s="137"/>
      <c r="L98" s="55"/>
      <c r="M98" s="55"/>
      <c r="N98" s="4"/>
    </row>
    <row r="99" spans="1:29" ht="35.25" customHeight="1" x14ac:dyDescent="0.3">
      <c r="D99" s="111" t="s">
        <v>515</v>
      </c>
      <c r="G99" s="36"/>
      <c r="H99" s="36"/>
      <c r="I99" s="36"/>
      <c r="J99" s="173" t="s">
        <v>517</v>
      </c>
      <c r="K99" s="137"/>
      <c r="L99" s="55"/>
      <c r="M99" s="55"/>
      <c r="N99" s="4"/>
    </row>
    <row r="100" spans="1:29" ht="36.75" customHeight="1" x14ac:dyDescent="0.3">
      <c r="C100" s="82" t="s">
        <v>13</v>
      </c>
      <c r="D100" s="82"/>
      <c r="E100" s="82"/>
      <c r="F100" s="82" t="s">
        <v>112</v>
      </c>
      <c r="G100" s="82" t="s">
        <v>145</v>
      </c>
      <c r="H100" s="82" t="s">
        <v>114</v>
      </c>
      <c r="I100" s="82" t="s">
        <v>144</v>
      </c>
      <c r="J100" s="82" t="s">
        <v>113</v>
      </c>
      <c r="K100" s="137"/>
      <c r="L100" s="55"/>
      <c r="M100" s="55"/>
      <c r="N100" s="4"/>
    </row>
    <row r="101" spans="1:29" ht="21.75" customHeight="1" x14ac:dyDescent="0.3">
      <c r="D101" s="13" t="s">
        <v>132</v>
      </c>
      <c r="F101" s="18"/>
      <c r="G101" s="18"/>
      <c r="H101" s="18"/>
      <c r="J101" s="12"/>
      <c r="K101" s="137"/>
      <c r="L101" s="55"/>
      <c r="M101" s="55"/>
      <c r="N101" s="3"/>
    </row>
    <row r="102" spans="1:29" ht="54" customHeight="1" x14ac:dyDescent="0.3">
      <c r="A102" s="13" t="s">
        <v>162</v>
      </c>
      <c r="B102" s="13">
        <v>56</v>
      </c>
      <c r="C102" t="s">
        <v>94</v>
      </c>
      <c r="D102" t="s">
        <v>243</v>
      </c>
      <c r="E102" t="s">
        <v>181</v>
      </c>
      <c r="F102" s="18">
        <v>3452.76</v>
      </c>
      <c r="G102" s="4">
        <v>0</v>
      </c>
      <c r="H102" s="4">
        <v>0</v>
      </c>
      <c r="I102" s="18">
        <v>0</v>
      </c>
      <c r="J102" s="12">
        <f>+F102+G102-H102-I102</f>
        <v>3452.76</v>
      </c>
      <c r="K102" s="141"/>
      <c r="L102" s="55"/>
      <c r="M102" s="55"/>
      <c r="N102" s="4"/>
    </row>
    <row r="103" spans="1:29" ht="62.25" customHeight="1" x14ac:dyDescent="0.3">
      <c r="B103" s="13">
        <v>57</v>
      </c>
      <c r="C103" t="s">
        <v>94</v>
      </c>
      <c r="D103" t="s">
        <v>346</v>
      </c>
      <c r="E103" t="s">
        <v>115</v>
      </c>
      <c r="F103" s="18">
        <v>3452.76</v>
      </c>
      <c r="G103" s="4">
        <v>0</v>
      </c>
      <c r="H103" s="4">
        <v>0</v>
      </c>
      <c r="I103" s="18">
        <v>0</v>
      </c>
      <c r="J103" s="12">
        <f>+F103+G103-H103-I103</f>
        <v>3452.76</v>
      </c>
      <c r="K103" s="141"/>
      <c r="L103" s="55"/>
      <c r="M103" s="55"/>
      <c r="N103" s="4"/>
    </row>
    <row r="104" spans="1:29" ht="57.75" customHeight="1" x14ac:dyDescent="0.3">
      <c r="A104" s="13" t="s">
        <v>162</v>
      </c>
      <c r="B104" s="13">
        <v>58</v>
      </c>
      <c r="C104" t="s">
        <v>94</v>
      </c>
      <c r="D104" t="s">
        <v>215</v>
      </c>
      <c r="E104" t="s">
        <v>164</v>
      </c>
      <c r="F104" s="35">
        <v>3452.76</v>
      </c>
      <c r="G104" s="15">
        <v>0</v>
      </c>
      <c r="H104" s="15">
        <v>0</v>
      </c>
      <c r="I104" s="35">
        <v>0</v>
      </c>
      <c r="J104" s="155">
        <f>+F104+G104-H104-I104</f>
        <v>3452.76</v>
      </c>
      <c r="K104" s="141"/>
      <c r="L104" s="55"/>
      <c r="M104" s="55"/>
      <c r="N104" s="4"/>
    </row>
    <row r="105" spans="1:29" ht="32.25" customHeight="1" x14ac:dyDescent="0.3">
      <c r="F105" s="78">
        <f>SUM(F102:F104)</f>
        <v>10358.280000000001</v>
      </c>
      <c r="G105" s="23">
        <f>SUM(G102:G104)</f>
        <v>0</v>
      </c>
      <c r="H105" s="23">
        <f>SUM(H102:H104)</f>
        <v>0</v>
      </c>
      <c r="I105" s="78">
        <f>SUM(I102:I104)</f>
        <v>0</v>
      </c>
      <c r="J105" s="23">
        <f>SUM(J102:J104)</f>
        <v>10358.280000000001</v>
      </c>
      <c r="K105" s="137"/>
      <c r="L105" s="55"/>
      <c r="M105" s="55"/>
      <c r="N105" s="4"/>
    </row>
    <row r="106" spans="1:29" ht="30" customHeight="1" x14ac:dyDescent="0.3">
      <c r="D106" s="13"/>
      <c r="F106" s="11"/>
      <c r="G106" s="11"/>
      <c r="H106" s="11"/>
      <c r="I106" s="36"/>
      <c r="J106" s="36"/>
      <c r="K106" s="137"/>
      <c r="L106" s="55"/>
      <c r="M106" s="55"/>
      <c r="N106" s="4"/>
    </row>
    <row r="107" spans="1:29" ht="41.25" hidden="1" customHeight="1" x14ac:dyDescent="0.3">
      <c r="F107" s="25"/>
      <c r="G107" s="10"/>
      <c r="H107" s="10"/>
      <c r="I107" s="25"/>
      <c r="J107" s="12"/>
      <c r="K107" s="140"/>
      <c r="L107" s="52"/>
      <c r="M107" s="55"/>
      <c r="N107" s="4"/>
    </row>
    <row r="108" spans="1:29" ht="34.5" hidden="1" customHeight="1" x14ac:dyDescent="0.3">
      <c r="F108" s="23"/>
      <c r="G108" s="23"/>
      <c r="H108" s="23"/>
      <c r="I108" s="78"/>
      <c r="J108" s="78"/>
      <c r="K108" s="140"/>
      <c r="L108" s="52"/>
      <c r="M108" s="55"/>
      <c r="N108" s="4"/>
      <c r="S108" t="s">
        <v>94</v>
      </c>
      <c r="T108" t="s">
        <v>264</v>
      </c>
      <c r="U108" t="s">
        <v>265</v>
      </c>
      <c r="V108" s="25">
        <v>3120</v>
      </c>
      <c r="W108" s="10"/>
      <c r="X108" s="10"/>
      <c r="Y108" s="25"/>
      <c r="Z108" s="12">
        <f>+V108+W108-X108-Y108</f>
        <v>3120</v>
      </c>
      <c r="AA108" s="15"/>
      <c r="AB108" s="15"/>
      <c r="AC108" s="15"/>
    </row>
    <row r="109" spans="1:29" ht="18.75" customHeight="1" x14ac:dyDescent="0.3">
      <c r="D109" s="13" t="s">
        <v>262</v>
      </c>
      <c r="F109" s="11"/>
      <c r="G109" s="11"/>
      <c r="H109" s="11"/>
      <c r="I109" s="36"/>
      <c r="J109" s="11"/>
      <c r="K109" s="137"/>
      <c r="L109" s="55"/>
      <c r="M109" s="55"/>
      <c r="N109" s="4"/>
    </row>
    <row r="110" spans="1:29" ht="50.25" hidden="1" customHeight="1" x14ac:dyDescent="0.3">
      <c r="D110" s="183"/>
      <c r="F110" s="181"/>
      <c r="G110" s="181"/>
      <c r="H110" s="181"/>
      <c r="I110" s="36"/>
      <c r="J110" s="181"/>
      <c r="K110" s="141"/>
      <c r="L110" s="55"/>
      <c r="M110" s="55"/>
      <c r="N110" s="4"/>
    </row>
    <row r="111" spans="1:29" ht="40.5" customHeight="1" x14ac:dyDescent="0.3">
      <c r="A111" s="13" t="s">
        <v>445</v>
      </c>
      <c r="B111" s="13">
        <v>61</v>
      </c>
      <c r="C111" t="s">
        <v>94</v>
      </c>
      <c r="D111" s="183" t="s">
        <v>433</v>
      </c>
      <c r="E111" t="s">
        <v>73</v>
      </c>
      <c r="F111" s="181">
        <v>3240</v>
      </c>
      <c r="G111" s="181">
        <f>F111/15*7</f>
        <v>1512</v>
      </c>
      <c r="H111" s="181"/>
      <c r="I111" s="36"/>
      <c r="J111" s="181">
        <f>F111+G111-H111-I111</f>
        <v>4752</v>
      </c>
      <c r="K111" s="179"/>
      <c r="L111" s="55"/>
      <c r="M111" s="55"/>
      <c r="N111" s="4"/>
    </row>
    <row r="112" spans="1:29" ht="0.75" customHeight="1" x14ac:dyDescent="0.3">
      <c r="B112" s="13">
        <v>62</v>
      </c>
      <c r="D112" s="183"/>
      <c r="F112" s="181" t="s">
        <v>506</v>
      </c>
      <c r="G112" s="181"/>
      <c r="H112" s="181"/>
      <c r="I112" s="36"/>
      <c r="J112" s="181"/>
      <c r="K112" s="179"/>
      <c r="L112" s="55"/>
      <c r="M112" s="55"/>
      <c r="N112" s="4"/>
    </row>
    <row r="113" spans="1:14" s="16" customFormat="1" ht="40.5" customHeight="1" x14ac:dyDescent="0.3">
      <c r="A113" s="13" t="s">
        <v>445</v>
      </c>
      <c r="B113" s="13">
        <v>62</v>
      </c>
      <c r="C113" t="s">
        <v>94</v>
      </c>
      <c r="D113" s="183" t="s">
        <v>416</v>
      </c>
      <c r="E113" t="s">
        <v>73</v>
      </c>
      <c r="F113" s="181">
        <v>3240</v>
      </c>
      <c r="G113" s="181">
        <f>F113/15*5</f>
        <v>1080</v>
      </c>
      <c r="H113" s="181"/>
      <c r="I113" s="36"/>
      <c r="J113" s="181">
        <f>F113+G113-H113-I113</f>
        <v>4320</v>
      </c>
      <c r="K113" s="180"/>
      <c r="L113" s="51"/>
      <c r="M113" s="51"/>
      <c r="N113" s="11"/>
    </row>
    <row r="114" spans="1:14" ht="30.75" customHeight="1" x14ac:dyDescent="0.3">
      <c r="A114" s="13" t="s">
        <v>282</v>
      </c>
      <c r="B114" s="13">
        <v>63</v>
      </c>
      <c r="C114" t="s">
        <v>94</v>
      </c>
      <c r="D114" t="s">
        <v>281</v>
      </c>
      <c r="E114" t="s">
        <v>73</v>
      </c>
      <c r="F114" s="35">
        <v>3434.4</v>
      </c>
      <c r="G114" s="15">
        <v>0</v>
      </c>
      <c r="H114" s="15"/>
      <c r="I114" s="35">
        <v>0</v>
      </c>
      <c r="J114" s="155">
        <f>F114+G114-H114-I114</f>
        <v>3434.4</v>
      </c>
      <c r="K114" s="141"/>
      <c r="L114" s="55"/>
      <c r="M114" s="55"/>
      <c r="N114" s="4"/>
    </row>
    <row r="115" spans="1:14" ht="28.5" customHeight="1" x14ac:dyDescent="0.3">
      <c r="F115" s="11">
        <f>SUM(F110:F114)</f>
        <v>9914.4</v>
      </c>
      <c r="G115" s="11">
        <f>SUM(G110:G114)</f>
        <v>2592</v>
      </c>
      <c r="H115" s="11">
        <f>SUM(H110:H114)</f>
        <v>0</v>
      </c>
      <c r="I115" s="36">
        <f>SUM(I110:I114)</f>
        <v>0</v>
      </c>
      <c r="J115" s="36">
        <f>SUM(J110:J114)</f>
        <v>12506.4</v>
      </c>
      <c r="K115" s="137"/>
      <c r="L115" s="55"/>
      <c r="M115" s="55"/>
      <c r="N115" s="4"/>
    </row>
    <row r="116" spans="1:14" ht="27" customHeight="1" x14ac:dyDescent="0.3">
      <c r="D116" s="13" t="s">
        <v>316</v>
      </c>
      <c r="F116" s="11"/>
      <c r="G116" s="11"/>
      <c r="H116" s="11"/>
      <c r="I116" s="36"/>
      <c r="J116" s="36"/>
      <c r="K116" s="137"/>
      <c r="L116" s="55"/>
      <c r="M116" s="55"/>
      <c r="N116" s="4"/>
    </row>
    <row r="117" spans="1:14" ht="38.25" customHeight="1" x14ac:dyDescent="0.3">
      <c r="B117" s="13">
        <v>64</v>
      </c>
      <c r="C117" t="s">
        <v>94</v>
      </c>
      <c r="D117" t="s">
        <v>318</v>
      </c>
      <c r="E117" t="s">
        <v>317</v>
      </c>
      <c r="F117" s="35">
        <v>3571.56</v>
      </c>
      <c r="G117" s="15"/>
      <c r="H117" s="15">
        <v>0</v>
      </c>
      <c r="I117" s="35">
        <v>0</v>
      </c>
      <c r="J117" s="155">
        <f>+F117+G117-H117-I117</f>
        <v>3571.56</v>
      </c>
      <c r="K117" s="141"/>
      <c r="L117" s="55"/>
      <c r="M117" s="55"/>
      <c r="N117" s="4"/>
    </row>
    <row r="118" spans="1:14" ht="27" customHeight="1" x14ac:dyDescent="0.3">
      <c r="F118" s="78">
        <f>+F117</f>
        <v>3571.56</v>
      </c>
      <c r="G118" s="23">
        <f>SUM(G117)</f>
        <v>0</v>
      </c>
      <c r="H118" s="23">
        <f>+H117</f>
        <v>0</v>
      </c>
      <c r="I118" s="78">
        <f>+I117</f>
        <v>0</v>
      </c>
      <c r="J118" s="22">
        <f>F118+G118</f>
        <v>3571.56</v>
      </c>
      <c r="K118" s="137"/>
      <c r="L118" s="55"/>
      <c r="M118" s="55"/>
      <c r="N118" s="4"/>
    </row>
    <row r="119" spans="1:14" ht="27" customHeight="1" x14ac:dyDescent="0.3">
      <c r="D119" s="13" t="s">
        <v>314</v>
      </c>
      <c r="F119" s="11"/>
      <c r="G119" s="11"/>
      <c r="H119" s="11"/>
      <c r="I119" s="36"/>
      <c r="J119" s="36"/>
      <c r="K119" s="137"/>
      <c r="L119" s="55"/>
      <c r="M119" s="55"/>
      <c r="N119" s="4"/>
    </row>
    <row r="120" spans="1:14" ht="36" customHeight="1" x14ac:dyDescent="0.3">
      <c r="B120" s="13">
        <v>65</v>
      </c>
      <c r="C120" t="s">
        <v>94</v>
      </c>
      <c r="D120" t="s">
        <v>351</v>
      </c>
      <c r="E120" t="s">
        <v>352</v>
      </c>
      <c r="F120" s="25">
        <v>2518.56</v>
      </c>
      <c r="G120" s="10">
        <v>0</v>
      </c>
      <c r="H120" s="178"/>
      <c r="I120" s="177">
        <v>0</v>
      </c>
      <c r="J120" s="12">
        <f>+F120+G120</f>
        <v>2518.56</v>
      </c>
      <c r="K120" s="141"/>
      <c r="L120" s="55"/>
      <c r="M120" s="55"/>
      <c r="N120" s="4"/>
    </row>
    <row r="121" spans="1:14" ht="54" customHeight="1" x14ac:dyDescent="0.3">
      <c r="B121" s="13">
        <v>66</v>
      </c>
      <c r="C121" t="s">
        <v>94</v>
      </c>
      <c r="D121" t="s">
        <v>383</v>
      </c>
      <c r="E121" t="s">
        <v>384</v>
      </c>
      <c r="F121" s="25">
        <v>3240</v>
      </c>
      <c r="G121" s="10">
        <v>0</v>
      </c>
      <c r="H121" s="178">
        <v>0</v>
      </c>
      <c r="I121" s="177">
        <v>0</v>
      </c>
      <c r="J121" s="12">
        <f>+F121+G121</f>
        <v>3240</v>
      </c>
      <c r="K121" s="141"/>
      <c r="L121" s="55"/>
      <c r="M121" s="55"/>
      <c r="N121" s="4"/>
    </row>
    <row r="122" spans="1:14" ht="49.5" customHeight="1" x14ac:dyDescent="0.3">
      <c r="A122" s="13" t="s">
        <v>249</v>
      </c>
      <c r="B122" s="13">
        <v>67</v>
      </c>
      <c r="C122" t="s">
        <v>94</v>
      </c>
      <c r="D122" t="s">
        <v>389</v>
      </c>
      <c r="E122" t="s">
        <v>315</v>
      </c>
      <c r="F122" s="35">
        <v>3434.4</v>
      </c>
      <c r="G122" s="15">
        <v>0</v>
      </c>
      <c r="H122" s="15">
        <v>0</v>
      </c>
      <c r="I122" s="35">
        <v>0</v>
      </c>
      <c r="J122" s="155">
        <f>+F122+G122</f>
        <v>3434.4</v>
      </c>
      <c r="K122" s="141"/>
      <c r="L122" s="55"/>
      <c r="M122" s="55"/>
      <c r="N122" s="4"/>
    </row>
    <row r="123" spans="1:14" ht="27" customHeight="1" x14ac:dyDescent="0.3">
      <c r="F123" s="78">
        <f>SUM(F120:F122)</f>
        <v>9192.9599999999991</v>
      </c>
      <c r="G123" s="23">
        <f ca="1">SUM(G120:G123)</f>
        <v>0</v>
      </c>
      <c r="H123" s="23">
        <f>SUM(H120:H122)</f>
        <v>0</v>
      </c>
      <c r="I123" s="78">
        <f>SUM(I120:I122)</f>
        <v>0</v>
      </c>
      <c r="J123" s="22">
        <f>SUM(J120:J122)</f>
        <v>9192.9599999999991</v>
      </c>
      <c r="K123" s="137"/>
      <c r="L123" s="55"/>
      <c r="M123" s="55"/>
      <c r="N123" s="4"/>
    </row>
    <row r="124" spans="1:14" ht="27" customHeight="1" x14ac:dyDescent="0.3">
      <c r="D124" s="13" t="s">
        <v>277</v>
      </c>
      <c r="F124" s="11"/>
      <c r="G124" s="11"/>
      <c r="H124" s="11"/>
      <c r="I124" s="36"/>
      <c r="J124" s="36"/>
      <c r="K124" s="137"/>
      <c r="L124" s="55"/>
      <c r="M124" s="55"/>
      <c r="N124" s="4"/>
    </row>
    <row r="125" spans="1:14" ht="32.25" customHeight="1" x14ac:dyDescent="0.3">
      <c r="B125" s="13">
        <v>68</v>
      </c>
      <c r="C125" t="s">
        <v>94</v>
      </c>
      <c r="D125" t="s">
        <v>278</v>
      </c>
      <c r="E125" t="s">
        <v>115</v>
      </c>
      <c r="F125" s="35">
        <v>3571.56</v>
      </c>
      <c r="G125" s="15"/>
      <c r="H125" s="15"/>
      <c r="I125" s="35">
        <v>0</v>
      </c>
      <c r="J125" s="155">
        <f>+F125+G125-H125-I125</f>
        <v>3571.56</v>
      </c>
      <c r="K125" s="141"/>
      <c r="L125" s="55"/>
      <c r="M125" s="55"/>
      <c r="N125" s="4"/>
    </row>
    <row r="126" spans="1:14" ht="27" customHeight="1" x14ac:dyDescent="0.3">
      <c r="F126" s="78">
        <f>+F125</f>
        <v>3571.56</v>
      </c>
      <c r="G126" s="23"/>
      <c r="H126" s="23"/>
      <c r="I126" s="78"/>
      <c r="J126" s="22">
        <f>+J125</f>
        <v>3571.56</v>
      </c>
      <c r="K126" s="137"/>
      <c r="L126" s="55"/>
      <c r="M126" s="55"/>
      <c r="N126" s="4"/>
    </row>
    <row r="127" spans="1:14" ht="27" customHeight="1" x14ac:dyDescent="0.3">
      <c r="D127" s="242" t="s">
        <v>0</v>
      </c>
      <c r="E127" s="242"/>
      <c r="F127" s="242"/>
      <c r="G127" s="36"/>
      <c r="H127" s="36"/>
      <c r="I127" s="36"/>
      <c r="J127" s="36"/>
      <c r="K127" s="137"/>
      <c r="L127" s="55"/>
      <c r="M127" s="55"/>
      <c r="N127" s="4"/>
    </row>
    <row r="128" spans="1:14" ht="27" customHeight="1" x14ac:dyDescent="0.3">
      <c r="D128" s="111" t="s">
        <v>515</v>
      </c>
      <c r="G128" s="36"/>
      <c r="H128" s="36"/>
      <c r="I128" s="36"/>
      <c r="J128" s="173" t="s">
        <v>517</v>
      </c>
      <c r="K128" s="137"/>
      <c r="L128" s="55"/>
      <c r="M128" s="55"/>
      <c r="N128" s="4"/>
    </row>
    <row r="129" spans="1:14" ht="32.25" customHeight="1" x14ac:dyDescent="0.3">
      <c r="C129" s="82" t="s">
        <v>13</v>
      </c>
      <c r="D129" s="82"/>
      <c r="E129" s="82"/>
      <c r="F129" s="82" t="s">
        <v>112</v>
      </c>
      <c r="G129" s="82" t="s">
        <v>145</v>
      </c>
      <c r="H129" s="82" t="s">
        <v>114</v>
      </c>
      <c r="I129" s="82" t="s">
        <v>117</v>
      </c>
      <c r="J129" s="82" t="s">
        <v>113</v>
      </c>
      <c r="K129" s="137"/>
      <c r="L129" s="55"/>
      <c r="M129" s="55"/>
      <c r="N129" s="4"/>
    </row>
    <row r="130" spans="1:14" ht="27" customHeight="1" x14ac:dyDescent="0.3">
      <c r="D130" s="13" t="s">
        <v>272</v>
      </c>
      <c r="F130" s="11"/>
      <c r="G130" s="11"/>
      <c r="H130" s="11"/>
      <c r="I130" s="36"/>
      <c r="J130" s="36"/>
      <c r="K130" s="137"/>
      <c r="L130" s="55"/>
      <c r="M130" s="55"/>
      <c r="N130" s="4"/>
    </row>
    <row r="131" spans="1:14" ht="40.5" customHeight="1" x14ac:dyDescent="0.3">
      <c r="B131" s="13">
        <v>69</v>
      </c>
      <c r="C131" t="s">
        <v>94</v>
      </c>
      <c r="D131" t="s">
        <v>225</v>
      </c>
      <c r="E131" t="s">
        <v>271</v>
      </c>
      <c r="F131" s="35">
        <v>4242.24</v>
      </c>
      <c r="G131" s="15"/>
      <c r="H131" s="15">
        <v>0</v>
      </c>
      <c r="I131" s="35">
        <v>0</v>
      </c>
      <c r="J131" s="155">
        <f>+F131+G131-H131-I131</f>
        <v>4242.24</v>
      </c>
      <c r="K131" s="141"/>
      <c r="L131" s="55"/>
      <c r="M131" s="51"/>
      <c r="N131" s="4"/>
    </row>
    <row r="132" spans="1:14" ht="27" customHeight="1" x14ac:dyDescent="0.3">
      <c r="F132" s="78">
        <f>+F131</f>
        <v>4242.24</v>
      </c>
      <c r="G132" s="23">
        <f>+G131</f>
        <v>0</v>
      </c>
      <c r="H132" s="23">
        <f>+H131</f>
        <v>0</v>
      </c>
      <c r="I132" s="78">
        <f>+I131</f>
        <v>0</v>
      </c>
      <c r="J132" s="22">
        <f>+J131</f>
        <v>4242.24</v>
      </c>
      <c r="K132" s="137"/>
      <c r="L132" s="55"/>
      <c r="M132" s="55"/>
      <c r="N132" s="4"/>
    </row>
    <row r="133" spans="1:14" ht="27" customHeight="1" x14ac:dyDescent="0.3">
      <c r="D133" s="13" t="s">
        <v>370</v>
      </c>
      <c r="F133" s="11"/>
      <c r="G133" s="11"/>
      <c r="H133" s="11"/>
      <c r="I133" s="36"/>
      <c r="J133" s="36"/>
      <c r="K133" s="137"/>
      <c r="L133" s="55"/>
      <c r="M133" s="55"/>
      <c r="N133" s="4"/>
    </row>
    <row r="134" spans="1:14" ht="27" customHeight="1" x14ac:dyDescent="0.3">
      <c r="B134" s="13">
        <v>70</v>
      </c>
      <c r="C134" t="s">
        <v>94</v>
      </c>
      <c r="D134" t="s">
        <v>371</v>
      </c>
      <c r="E134" t="s">
        <v>372</v>
      </c>
      <c r="F134" s="35">
        <v>3205.44</v>
      </c>
      <c r="G134" s="15"/>
      <c r="H134" s="15">
        <v>0</v>
      </c>
      <c r="I134" s="35">
        <v>0</v>
      </c>
      <c r="J134" s="155">
        <f>+F134+G134-H134-I134</f>
        <v>3205.44</v>
      </c>
      <c r="K134" s="141"/>
      <c r="L134" s="55"/>
      <c r="M134" s="55"/>
      <c r="N134" s="4"/>
    </row>
    <row r="135" spans="1:14" ht="32.25" customHeight="1" x14ac:dyDescent="0.3">
      <c r="F135" s="78">
        <f>+F134</f>
        <v>3205.44</v>
      </c>
      <c r="G135" s="23">
        <f>+G134</f>
        <v>0</v>
      </c>
      <c r="H135" s="23">
        <f>+H134</f>
        <v>0</v>
      </c>
      <c r="I135" s="78">
        <f>+I134</f>
        <v>0</v>
      </c>
      <c r="J135" s="22">
        <f>+J134</f>
        <v>3205.44</v>
      </c>
      <c r="K135" s="137"/>
      <c r="L135" s="55"/>
      <c r="M135" s="55"/>
      <c r="N135" s="4"/>
    </row>
    <row r="136" spans="1:14" ht="32.25" customHeight="1" x14ac:dyDescent="0.3">
      <c r="D136" s="13" t="s">
        <v>391</v>
      </c>
      <c r="F136" s="11"/>
      <c r="G136" s="11"/>
      <c r="H136" s="11"/>
      <c r="I136" s="36"/>
      <c r="J136" s="36"/>
      <c r="K136" s="137"/>
      <c r="L136" s="55"/>
      <c r="M136" s="55"/>
      <c r="N136" s="4"/>
    </row>
    <row r="137" spans="1:14" ht="32.25" customHeight="1" x14ac:dyDescent="0.3">
      <c r="B137" s="13">
        <v>71</v>
      </c>
      <c r="C137" t="s">
        <v>94</v>
      </c>
      <c r="D137" s="183" t="s">
        <v>489</v>
      </c>
      <c r="E137" t="s">
        <v>398</v>
      </c>
      <c r="F137" s="181">
        <v>5023.674</v>
      </c>
      <c r="G137" s="181"/>
      <c r="H137" s="181"/>
      <c r="I137" s="182"/>
      <c r="J137" s="182">
        <f>F137+G137-H137-I137</f>
        <v>5023.674</v>
      </c>
      <c r="K137" s="137"/>
      <c r="L137" s="55"/>
      <c r="M137" s="55"/>
      <c r="N137" s="4"/>
    </row>
    <row r="138" spans="1:14" s="16" customFormat="1" ht="41.25" customHeight="1" x14ac:dyDescent="0.3">
      <c r="A138" s="13"/>
      <c r="B138" s="13">
        <v>72</v>
      </c>
      <c r="C138" t="s">
        <v>94</v>
      </c>
      <c r="D138" s="183" t="s">
        <v>438</v>
      </c>
      <c r="E138" s="183" t="s">
        <v>90</v>
      </c>
      <c r="F138" s="184">
        <v>2160</v>
      </c>
      <c r="G138" s="184"/>
      <c r="H138" s="184"/>
      <c r="I138" s="185"/>
      <c r="J138" s="185">
        <f>F138+G138-H138-I138</f>
        <v>2160</v>
      </c>
      <c r="K138" s="190"/>
      <c r="L138" s="51"/>
      <c r="M138" s="51"/>
      <c r="N138" s="11"/>
    </row>
    <row r="139" spans="1:14" ht="32.25" customHeight="1" x14ac:dyDescent="0.3">
      <c r="B139" s="13">
        <v>73</v>
      </c>
      <c r="C139" t="s">
        <v>94</v>
      </c>
      <c r="D139" s="161" t="s">
        <v>216</v>
      </c>
      <c r="E139" t="s">
        <v>392</v>
      </c>
      <c r="F139" s="163">
        <v>5023.674</v>
      </c>
      <c r="G139" s="163"/>
      <c r="H139" s="163">
        <v>0</v>
      </c>
      <c r="I139" s="163">
        <v>0</v>
      </c>
      <c r="J139" s="155">
        <f>+F139+G139-H139-I139</f>
        <v>5023.674</v>
      </c>
      <c r="K139" s="141"/>
      <c r="L139" s="55"/>
      <c r="M139" s="55"/>
      <c r="N139" s="4"/>
    </row>
    <row r="140" spans="1:14" ht="32.25" customHeight="1" x14ac:dyDescent="0.3">
      <c r="F140" s="78">
        <f>SUM(F137:F139)</f>
        <v>12207.348</v>
      </c>
      <c r="G140" s="78">
        <f>SUM(G137:G139)</f>
        <v>0</v>
      </c>
      <c r="H140" s="78">
        <f>SUM(H137:H139)</f>
        <v>0</v>
      </c>
      <c r="I140" s="78">
        <f>SUM(I137:I139)</f>
        <v>0</v>
      </c>
      <c r="J140" s="78">
        <f>SUM(J137:J139)</f>
        <v>12207.348</v>
      </c>
      <c r="K140" s="137"/>
      <c r="L140" s="55"/>
      <c r="M140" s="55"/>
      <c r="N140" s="4"/>
    </row>
    <row r="141" spans="1:14" ht="27" customHeight="1" x14ac:dyDescent="0.3">
      <c r="D141" s="13" t="s">
        <v>66</v>
      </c>
      <c r="F141" s="78"/>
      <c r="G141" s="23"/>
      <c r="H141" s="23"/>
      <c r="I141" s="78"/>
      <c r="J141" s="22"/>
      <c r="K141" s="137"/>
      <c r="L141" s="55"/>
      <c r="M141" s="55"/>
      <c r="N141" s="4"/>
    </row>
    <row r="142" spans="1:14" ht="27" customHeight="1" x14ac:dyDescent="0.3">
      <c r="B142" s="13">
        <v>74</v>
      </c>
      <c r="C142" t="s">
        <v>94</v>
      </c>
      <c r="D142" t="s">
        <v>353</v>
      </c>
      <c r="E142" t="s">
        <v>115</v>
      </c>
      <c r="F142" s="163">
        <v>3024</v>
      </c>
      <c r="G142" s="158"/>
      <c r="H142" s="158"/>
      <c r="I142" s="157"/>
      <c r="J142" s="155">
        <f>F142+G142-H142-I142</f>
        <v>3024</v>
      </c>
      <c r="K142" s="141"/>
      <c r="L142" s="55"/>
      <c r="M142" s="55"/>
      <c r="N142" s="4"/>
    </row>
    <row r="143" spans="1:14" ht="32.25" customHeight="1" x14ac:dyDescent="0.3">
      <c r="F143" s="78">
        <f>+F142</f>
        <v>3024</v>
      </c>
      <c r="G143" s="23"/>
      <c r="H143" s="23"/>
      <c r="I143" s="78"/>
      <c r="J143" s="22">
        <f>F143+G143-H143-I143</f>
        <v>3024</v>
      </c>
      <c r="K143" s="137"/>
      <c r="L143" s="55"/>
      <c r="M143" s="55"/>
      <c r="N143" s="4"/>
    </row>
    <row r="144" spans="1:14" ht="9.75" customHeight="1" x14ac:dyDescent="0.3">
      <c r="F144" s="78"/>
      <c r="G144" s="23"/>
      <c r="H144" s="23"/>
      <c r="I144" s="78"/>
      <c r="J144" s="22"/>
      <c r="K144" s="137"/>
      <c r="L144" s="55"/>
      <c r="M144" s="55"/>
      <c r="N144" s="4"/>
    </row>
    <row r="145" spans="1:14" ht="27" customHeight="1" x14ac:dyDescent="0.3">
      <c r="D145" s="13"/>
      <c r="F145" s="78"/>
      <c r="G145" s="23"/>
      <c r="H145" s="23"/>
      <c r="I145" s="78"/>
      <c r="J145" s="22"/>
      <c r="K145" s="137"/>
      <c r="L145" s="55"/>
      <c r="M145" s="55"/>
      <c r="N145" s="4"/>
    </row>
    <row r="146" spans="1:14" ht="27" hidden="1" customHeight="1" x14ac:dyDescent="0.3">
      <c r="F146" s="177"/>
      <c r="G146" s="177"/>
      <c r="H146" s="78"/>
      <c r="I146" s="78"/>
      <c r="J146" s="12"/>
      <c r="K146" s="139"/>
      <c r="L146" s="57"/>
      <c r="M146" s="55"/>
      <c r="N146" s="4"/>
    </row>
    <row r="147" spans="1:14" ht="24.75" hidden="1" customHeight="1" x14ac:dyDescent="0.3">
      <c r="F147" s="78">
        <f>+F146</f>
        <v>0</v>
      </c>
      <c r="G147" s="78"/>
      <c r="H147" s="78"/>
      <c r="I147" s="78"/>
      <c r="J147" s="22"/>
      <c r="K147" s="139"/>
      <c r="L147" s="57"/>
      <c r="M147" s="55"/>
      <c r="N147" s="4"/>
    </row>
    <row r="148" spans="1:14" ht="24.75" hidden="1" customHeight="1" x14ac:dyDescent="0.3">
      <c r="F148" s="78"/>
      <c r="G148" s="78"/>
      <c r="H148" s="78"/>
      <c r="I148" s="78"/>
      <c r="J148" s="22"/>
      <c r="K148" s="139"/>
      <c r="L148" s="57"/>
      <c r="M148" s="55"/>
      <c r="N148" s="4"/>
    </row>
    <row r="149" spans="1:14" ht="27" customHeight="1" x14ac:dyDescent="0.3">
      <c r="D149" s="13" t="s">
        <v>399</v>
      </c>
      <c r="F149" s="78"/>
      <c r="G149" s="23"/>
      <c r="H149" s="23"/>
      <c r="I149" s="78"/>
      <c r="J149" s="22"/>
      <c r="K149" s="137"/>
      <c r="L149" s="55"/>
      <c r="M149" s="55"/>
      <c r="N149" s="4"/>
    </row>
    <row r="150" spans="1:14" ht="27" customHeight="1" x14ac:dyDescent="0.3">
      <c r="B150" s="13">
        <v>76</v>
      </c>
      <c r="C150" t="s">
        <v>94</v>
      </c>
      <c r="D150" t="s">
        <v>400</v>
      </c>
      <c r="E150" t="s">
        <v>398</v>
      </c>
      <c r="F150" s="163">
        <v>5023.674</v>
      </c>
      <c r="G150" s="158"/>
      <c r="H150" s="158"/>
      <c r="I150" s="157"/>
      <c r="J150" s="155">
        <f>F150+G150-H150-I150</f>
        <v>5023.674</v>
      </c>
      <c r="K150" s="141"/>
      <c r="L150" s="55"/>
      <c r="M150" s="55"/>
      <c r="N150" s="4"/>
    </row>
    <row r="151" spans="1:14" ht="32.25" customHeight="1" x14ac:dyDescent="0.3">
      <c r="F151" s="78">
        <f>+F150</f>
        <v>5023.674</v>
      </c>
      <c r="G151" s="23">
        <f>+G150</f>
        <v>0</v>
      </c>
      <c r="H151" s="23">
        <f>+H150</f>
        <v>0</v>
      </c>
      <c r="I151" s="78">
        <f>+I150</f>
        <v>0</v>
      </c>
      <c r="J151" s="22">
        <f>F151+G151-H151-I151</f>
        <v>5023.674</v>
      </c>
      <c r="K151" s="137"/>
      <c r="L151" s="55"/>
      <c r="M151" s="55"/>
      <c r="N151" s="4"/>
    </row>
    <row r="152" spans="1:14" ht="27" hidden="1" customHeight="1" x14ac:dyDescent="0.3">
      <c r="D152" s="13"/>
      <c r="F152" s="78"/>
      <c r="G152" s="23"/>
      <c r="H152" s="23"/>
      <c r="I152" s="78"/>
      <c r="J152" s="22"/>
      <c r="K152" s="137"/>
      <c r="L152" s="55"/>
      <c r="M152" s="55"/>
      <c r="N152" s="4"/>
    </row>
    <row r="153" spans="1:14" ht="27" hidden="1" customHeight="1" x14ac:dyDescent="0.3">
      <c r="F153" s="163"/>
      <c r="G153" s="158"/>
      <c r="H153" s="158"/>
      <c r="I153" s="157"/>
      <c r="J153" s="155"/>
      <c r="K153" s="141"/>
      <c r="L153" s="55"/>
      <c r="M153" s="55"/>
      <c r="N153" s="4"/>
    </row>
    <row r="154" spans="1:14" ht="22.5" hidden="1" customHeight="1" x14ac:dyDescent="0.3">
      <c r="F154" s="78"/>
      <c r="G154" s="23"/>
      <c r="H154" s="23"/>
      <c r="I154" s="78"/>
      <c r="J154" s="22"/>
      <c r="K154" s="137"/>
      <c r="L154" s="55"/>
      <c r="M154" s="55"/>
      <c r="N154" s="4"/>
    </row>
    <row r="155" spans="1:14" ht="32.25" customHeight="1" x14ac:dyDescent="0.3">
      <c r="D155" s="13" t="s">
        <v>409</v>
      </c>
      <c r="F155" s="78"/>
      <c r="G155" s="23"/>
      <c r="H155" s="23"/>
      <c r="I155" s="78"/>
      <c r="J155" s="22"/>
      <c r="K155" s="137"/>
      <c r="L155" s="55"/>
      <c r="M155" s="55"/>
      <c r="N155" s="4"/>
    </row>
    <row r="156" spans="1:14" ht="32.25" customHeight="1" x14ac:dyDescent="0.3">
      <c r="B156" s="13">
        <v>77</v>
      </c>
      <c r="C156" t="s">
        <v>94</v>
      </c>
      <c r="D156" t="s">
        <v>410</v>
      </c>
      <c r="E156" t="s">
        <v>90</v>
      </c>
      <c r="F156" s="163">
        <v>3240</v>
      </c>
      <c r="G156" s="172"/>
      <c r="H156" s="172"/>
      <c r="I156" s="163"/>
      <c r="J156" s="155">
        <f>+F156+G156-H156-I156</f>
        <v>3240</v>
      </c>
      <c r="K156" s="141"/>
      <c r="L156" s="55"/>
      <c r="M156" s="55"/>
      <c r="N156" s="4"/>
    </row>
    <row r="157" spans="1:14" ht="22.5" customHeight="1" x14ac:dyDescent="0.3">
      <c r="F157" s="78">
        <f>+F156</f>
        <v>3240</v>
      </c>
      <c r="G157" s="178">
        <f>+G156</f>
        <v>0</v>
      </c>
      <c r="H157" s="23">
        <f>+H156</f>
        <v>0</v>
      </c>
      <c r="I157" s="177">
        <f>+I156</f>
        <v>0</v>
      </c>
      <c r="J157" s="22">
        <f>+J156</f>
        <v>3240</v>
      </c>
      <c r="K157" s="140"/>
      <c r="L157" s="55"/>
      <c r="M157" s="55"/>
      <c r="N157" s="4"/>
    </row>
    <row r="158" spans="1:14" ht="32.25" customHeight="1" x14ac:dyDescent="0.3">
      <c r="D158" s="13" t="s">
        <v>425</v>
      </c>
      <c r="F158" s="177"/>
      <c r="G158" s="178"/>
      <c r="H158" s="178"/>
      <c r="I158" s="177"/>
      <c r="J158" s="12"/>
      <c r="K158" s="140"/>
      <c r="L158" s="55"/>
      <c r="M158" s="55"/>
      <c r="N158" s="4"/>
    </row>
    <row r="159" spans="1:14" s="16" customFormat="1" ht="32.25" customHeight="1" x14ac:dyDescent="0.3">
      <c r="A159" s="13" t="s">
        <v>445</v>
      </c>
      <c r="B159" s="13">
        <v>78</v>
      </c>
      <c r="C159" t="s">
        <v>94</v>
      </c>
      <c r="D159" s="183" t="s">
        <v>504</v>
      </c>
      <c r="E159" t="s">
        <v>115</v>
      </c>
      <c r="F159" s="163">
        <v>3024</v>
      </c>
      <c r="G159" s="172"/>
      <c r="H159" s="172"/>
      <c r="I159" s="163"/>
      <c r="J159" s="155">
        <f>F159+G159-H159-I159</f>
        <v>3024</v>
      </c>
      <c r="K159" s="176"/>
      <c r="L159" s="51"/>
      <c r="M159" s="51"/>
      <c r="N159" s="11"/>
    </row>
    <row r="160" spans="1:14" ht="27" customHeight="1" x14ac:dyDescent="0.3">
      <c r="F160" s="78">
        <f>+F159</f>
        <v>3024</v>
      </c>
      <c r="G160" s="23">
        <f>+G156</f>
        <v>0</v>
      </c>
      <c r="H160" s="23">
        <f>+H159</f>
        <v>0</v>
      </c>
      <c r="I160" s="78">
        <f>+I156</f>
        <v>0</v>
      </c>
      <c r="J160" s="22">
        <f>+J159</f>
        <v>3024</v>
      </c>
      <c r="K160" s="140"/>
      <c r="L160" s="52"/>
      <c r="M160" s="52"/>
      <c r="N160" s="10"/>
    </row>
    <row r="161" spans="1:14" ht="27" customHeight="1" x14ac:dyDescent="0.3">
      <c r="D161" s="13" t="s">
        <v>411</v>
      </c>
      <c r="F161" s="78"/>
      <c r="G161" s="23"/>
      <c r="H161" s="23"/>
      <c r="I161" s="78"/>
      <c r="J161" s="22"/>
      <c r="K161" s="140"/>
      <c r="L161" s="52"/>
      <c r="M161" s="52"/>
      <c r="N161" s="10"/>
    </row>
    <row r="162" spans="1:14" s="16" customFormat="1" ht="30.75" customHeight="1" x14ac:dyDescent="0.3">
      <c r="A162" s="13" t="s">
        <v>445</v>
      </c>
      <c r="B162" s="13">
        <v>79</v>
      </c>
      <c r="C162" t="s">
        <v>94</v>
      </c>
      <c r="D162" s="183" t="s">
        <v>434</v>
      </c>
      <c r="E162" t="s">
        <v>435</v>
      </c>
      <c r="F162" s="177">
        <v>3704.4</v>
      </c>
      <c r="G162" s="178">
        <v>800</v>
      </c>
      <c r="H162" s="178"/>
      <c r="I162" s="177"/>
      <c r="J162" s="12">
        <f>F162+G162-H162-I162</f>
        <v>4504.3999999999996</v>
      </c>
      <c r="K162" s="176"/>
      <c r="L162" s="58"/>
      <c r="M162" s="58"/>
      <c r="N162" s="23"/>
    </row>
    <row r="163" spans="1:14" ht="27" customHeight="1" x14ac:dyDescent="0.3">
      <c r="B163" s="13">
        <v>80</v>
      </c>
      <c r="C163" t="s">
        <v>94</v>
      </c>
      <c r="D163" t="s">
        <v>412</v>
      </c>
      <c r="E163" t="s">
        <v>90</v>
      </c>
      <c r="F163" s="163">
        <v>3024</v>
      </c>
      <c r="G163" s="172"/>
      <c r="H163" s="172"/>
      <c r="I163" s="163"/>
      <c r="J163" s="155">
        <f>+F163+G163-H163-I163</f>
        <v>3024</v>
      </c>
      <c r="K163" s="141"/>
      <c r="L163" s="52"/>
      <c r="M163" s="52"/>
      <c r="N163" s="178"/>
    </row>
    <row r="164" spans="1:14" ht="27" customHeight="1" x14ac:dyDescent="0.3">
      <c r="F164" s="78">
        <f>SUM(F162:F163)</f>
        <v>6728.4</v>
      </c>
      <c r="G164" s="23">
        <f>+G162+G163</f>
        <v>800</v>
      </c>
      <c r="H164" s="23">
        <f>+H162+H163</f>
        <v>0</v>
      </c>
      <c r="I164" s="78">
        <f>+I162+I163</f>
        <v>0</v>
      </c>
      <c r="J164" s="22">
        <f>SUM(J162:J163)</f>
        <v>7528.4</v>
      </c>
      <c r="K164" s="140"/>
      <c r="L164" s="52"/>
      <c r="M164" s="52"/>
      <c r="N164" s="10"/>
    </row>
    <row r="165" spans="1:14" ht="18" customHeight="1" x14ac:dyDescent="0.3">
      <c r="F165" s="78"/>
      <c r="G165" s="23"/>
      <c r="H165" s="23"/>
      <c r="I165" s="78"/>
      <c r="J165" s="22"/>
      <c r="K165" s="140"/>
      <c r="L165" s="52"/>
      <c r="M165" s="52"/>
      <c r="N165" s="10"/>
    </row>
    <row r="166" spans="1:14" ht="18.75" x14ac:dyDescent="0.3">
      <c r="D166" s="13" t="s">
        <v>440</v>
      </c>
      <c r="F166" s="78"/>
      <c r="G166" s="23"/>
      <c r="H166" s="23"/>
      <c r="I166" s="78"/>
      <c r="J166" s="22"/>
      <c r="K166" s="140"/>
      <c r="L166" s="52"/>
      <c r="M166" s="52"/>
      <c r="N166" s="10"/>
    </row>
    <row r="167" spans="1:14" ht="18.75" x14ac:dyDescent="0.3">
      <c r="B167" s="13">
        <v>81</v>
      </c>
      <c r="C167" t="s">
        <v>94</v>
      </c>
      <c r="D167" s="183" t="s">
        <v>490</v>
      </c>
      <c r="E167" t="s">
        <v>398</v>
      </c>
      <c r="F167" s="177">
        <v>5023.674</v>
      </c>
      <c r="G167" s="178"/>
      <c r="H167" s="178"/>
      <c r="I167" s="177"/>
      <c r="J167" s="12">
        <f>F167+G167-H167-I167</f>
        <v>5023.674</v>
      </c>
      <c r="K167" s="140"/>
      <c r="L167" s="52"/>
      <c r="M167" s="52"/>
      <c r="N167" s="10"/>
    </row>
    <row r="168" spans="1:14" ht="27" customHeight="1" x14ac:dyDescent="0.3">
      <c r="A168" s="13" t="s">
        <v>445</v>
      </c>
      <c r="B168" s="13">
        <v>82</v>
      </c>
      <c r="C168" t="s">
        <v>94</v>
      </c>
      <c r="D168" s="183" t="s">
        <v>441</v>
      </c>
      <c r="E168" t="s">
        <v>90</v>
      </c>
      <c r="F168" s="163">
        <v>3434.4</v>
      </c>
      <c r="G168" s="172"/>
      <c r="H168" s="172"/>
      <c r="I168" s="163"/>
      <c r="J168" s="155">
        <f>F168+G168-H168-I168</f>
        <v>3434.4</v>
      </c>
      <c r="K168" s="141"/>
      <c r="L168" s="52"/>
      <c r="M168" s="52"/>
      <c r="N168" s="10"/>
    </row>
    <row r="169" spans="1:14" ht="32.25" customHeight="1" x14ac:dyDescent="0.3">
      <c r="F169" s="78">
        <f>SUM(F167:F168)</f>
        <v>8458.0740000000005</v>
      </c>
      <c r="G169" s="78">
        <f>SUM(G167:G168)</f>
        <v>0</v>
      </c>
      <c r="H169" s="78">
        <f>SUM(H167:H168)</f>
        <v>0</v>
      </c>
      <c r="I169" s="78">
        <f>SUM(I167:I168)</f>
        <v>0</v>
      </c>
      <c r="J169" s="78">
        <f>SUM(J167:J168)</f>
        <v>8458.0740000000005</v>
      </c>
      <c r="K169" s="140"/>
      <c r="L169" s="52"/>
      <c r="M169" s="52"/>
      <c r="N169" s="10"/>
    </row>
    <row r="170" spans="1:14" ht="12" customHeight="1" x14ac:dyDescent="0.3">
      <c r="F170" s="78"/>
      <c r="G170" s="23"/>
      <c r="H170" s="23"/>
      <c r="I170" s="78"/>
      <c r="J170" s="22"/>
      <c r="K170" s="140"/>
      <c r="L170" s="52"/>
      <c r="M170" s="52"/>
      <c r="N170" s="10"/>
    </row>
    <row r="171" spans="1:14" ht="18" customHeight="1" x14ac:dyDescent="0.3">
      <c r="D171" s="13" t="s">
        <v>491</v>
      </c>
      <c r="F171" s="78"/>
      <c r="G171" s="23"/>
      <c r="H171" s="23"/>
      <c r="I171" s="78"/>
      <c r="J171" s="22"/>
      <c r="K171" s="140"/>
      <c r="L171" s="52"/>
      <c r="M171" s="52"/>
      <c r="N171" s="10"/>
    </row>
    <row r="172" spans="1:14" ht="32.25" customHeight="1" x14ac:dyDescent="0.3">
      <c r="B172" s="13">
        <v>83</v>
      </c>
      <c r="C172" t="s">
        <v>94</v>
      </c>
      <c r="D172" t="s">
        <v>226</v>
      </c>
      <c r="E172" t="s">
        <v>398</v>
      </c>
      <c r="F172" s="163">
        <v>4483.674</v>
      </c>
      <c r="G172" s="172"/>
      <c r="H172" s="172"/>
      <c r="I172" s="163"/>
      <c r="J172" s="155">
        <f>F172+G172-H172-I172</f>
        <v>4483.674</v>
      </c>
      <c r="K172" s="141"/>
      <c r="L172" s="52"/>
      <c r="M172" s="52"/>
      <c r="N172" s="10"/>
    </row>
    <row r="173" spans="1:14" ht="32.25" customHeight="1" x14ac:dyDescent="0.3">
      <c r="F173" s="78">
        <f>+F172</f>
        <v>4483.674</v>
      </c>
      <c r="G173" s="23">
        <f>+G172</f>
        <v>0</v>
      </c>
      <c r="H173" s="23">
        <f>+H172</f>
        <v>0</v>
      </c>
      <c r="I173" s="78">
        <f>+I172</f>
        <v>0</v>
      </c>
      <c r="J173" s="22">
        <f>+J172</f>
        <v>4483.674</v>
      </c>
      <c r="K173" s="140"/>
      <c r="L173" s="52"/>
      <c r="M173" s="52"/>
      <c r="N173" s="10"/>
    </row>
    <row r="174" spans="1:14" ht="15" customHeight="1" x14ac:dyDescent="0.3">
      <c r="F174" s="78"/>
      <c r="G174" s="23"/>
      <c r="H174" s="23"/>
      <c r="I174" s="78"/>
      <c r="J174" s="22"/>
      <c r="K174" s="140"/>
      <c r="L174" s="52"/>
      <c r="M174" s="52"/>
      <c r="N174" s="10"/>
    </row>
    <row r="175" spans="1:14" ht="32.25" customHeight="1" x14ac:dyDescent="0.3">
      <c r="B175"/>
      <c r="D175" s="13" t="s">
        <v>498</v>
      </c>
      <c r="F175" s="78"/>
      <c r="G175" s="23"/>
      <c r="H175" s="23"/>
      <c r="I175" s="78"/>
      <c r="J175" s="22"/>
      <c r="K175" s="140"/>
      <c r="L175" s="52"/>
      <c r="M175" s="52"/>
      <c r="N175" s="10"/>
    </row>
    <row r="176" spans="1:14" ht="32.25" customHeight="1" x14ac:dyDescent="0.3">
      <c r="B176" s="13">
        <v>84</v>
      </c>
      <c r="C176" t="s">
        <v>94</v>
      </c>
      <c r="D176" t="s">
        <v>499</v>
      </c>
      <c r="E176" t="s">
        <v>136</v>
      </c>
      <c r="F176" s="163">
        <v>5940</v>
      </c>
      <c r="G176" s="158"/>
      <c r="H176" s="158">
        <v>0</v>
      </c>
      <c r="I176" s="157">
        <v>0</v>
      </c>
      <c r="J176" s="155">
        <f>F176+G176-H176-I176</f>
        <v>5940</v>
      </c>
      <c r="K176" s="141"/>
      <c r="L176" s="52"/>
      <c r="M176" s="52"/>
      <c r="N176" s="10"/>
    </row>
    <row r="177" spans="3:18" ht="32.25" customHeight="1" x14ac:dyDescent="0.3">
      <c r="F177" s="78">
        <f>+F176</f>
        <v>5940</v>
      </c>
      <c r="G177" s="23">
        <f>+G176</f>
        <v>0</v>
      </c>
      <c r="H177" s="23">
        <f>+H176</f>
        <v>0</v>
      </c>
      <c r="I177" s="78">
        <f>+I176</f>
        <v>0</v>
      </c>
      <c r="J177" s="22">
        <f>+J176</f>
        <v>5940</v>
      </c>
      <c r="K177" s="140"/>
      <c r="L177" s="52"/>
      <c r="M177" s="52"/>
      <c r="N177" s="10"/>
    </row>
    <row r="178" spans="3:18" ht="32.25" customHeight="1" x14ac:dyDescent="0.3">
      <c r="F178" s="78"/>
      <c r="G178" s="23"/>
      <c r="H178" s="23"/>
      <c r="I178" s="78"/>
      <c r="J178" s="22"/>
      <c r="K178" s="140"/>
      <c r="L178" s="52"/>
      <c r="M178" s="52"/>
      <c r="N178" s="10"/>
    </row>
    <row r="179" spans="3:18" ht="27" customHeight="1" x14ac:dyDescent="0.3">
      <c r="F179" s="78"/>
      <c r="G179" s="23"/>
      <c r="H179" s="23"/>
      <c r="I179" s="78"/>
      <c r="J179" s="22"/>
      <c r="K179" s="137"/>
      <c r="L179" s="55"/>
      <c r="M179" s="55"/>
      <c r="N179" s="4"/>
    </row>
    <row r="180" spans="3:18" ht="30" customHeight="1" thickBot="1" x14ac:dyDescent="0.35">
      <c r="D180" s="13" t="s">
        <v>87</v>
      </c>
      <c r="F180" s="88">
        <f>F11+F14+F18+F29+F57+F63+F72+F75+F85+F97+F105+F108+F115+F118+F123+F126+F132+F135+F140+F143+F147+F151+F157+F160+F164+F169+F173+F177</f>
        <v>281621.66399999999</v>
      </c>
      <c r="G180" s="88">
        <f>G29+G63+G72+G85+G115+G164</f>
        <v>15411.14</v>
      </c>
      <c r="H180" s="88">
        <f>H57+H72</f>
        <v>758.30399999999997</v>
      </c>
      <c r="I180" s="88">
        <f>I14+I29+I63</f>
        <v>1750</v>
      </c>
      <c r="J180" s="88">
        <f>J11+J14+J18+J29+J57+J63+J72+J75+J85+J97+J105+J108+J115+J118+J123+J126+J132+J135+J140+J143+J147+J151+J157+J160+J164+J169+J173+J177</f>
        <v>294524.5</v>
      </c>
      <c r="K180" s="140"/>
      <c r="L180" s="52"/>
      <c r="M180" s="52"/>
      <c r="N180" s="4"/>
    </row>
    <row r="181" spans="3:18" ht="15" customHeight="1" thickTop="1" x14ac:dyDescent="0.3">
      <c r="K181" s="111"/>
      <c r="L181" s="39"/>
      <c r="M181" s="65"/>
      <c r="N181" s="4"/>
    </row>
    <row r="182" spans="3:18" ht="15" customHeight="1" x14ac:dyDescent="0.3">
      <c r="F182" s="3"/>
      <c r="G182" s="3"/>
      <c r="H182" s="3"/>
      <c r="I182" s="195"/>
      <c r="J182" s="3"/>
      <c r="K182" s="111"/>
      <c r="L182" s="39"/>
      <c r="M182" s="65"/>
      <c r="N182" s="4"/>
    </row>
    <row r="183" spans="3:18" ht="3" customHeight="1" x14ac:dyDescent="0.3">
      <c r="C183" s="111"/>
      <c r="D183" s="111"/>
      <c r="E183" s="111"/>
      <c r="F183" s="111"/>
      <c r="G183" s="164"/>
      <c r="H183" s="111"/>
      <c r="I183" s="143"/>
      <c r="J183" s="189"/>
      <c r="K183" s="111"/>
      <c r="L183" s="39"/>
      <c r="M183" s="65"/>
    </row>
    <row r="184" spans="3:18" ht="21" customHeight="1" x14ac:dyDescent="0.3">
      <c r="C184" s="111"/>
      <c r="D184" s="144"/>
      <c r="E184" s="111"/>
      <c r="F184" s="111"/>
      <c r="G184" s="189"/>
      <c r="H184" s="111"/>
      <c r="I184" s="143"/>
      <c r="J184" s="17"/>
      <c r="K184" s="144"/>
      <c r="L184" s="39"/>
      <c r="M184" s="39"/>
    </row>
    <row r="185" spans="3:18" ht="30" customHeight="1" x14ac:dyDescent="0.3">
      <c r="C185" s="111"/>
      <c r="D185" s="138" t="s">
        <v>236</v>
      </c>
      <c r="E185" s="110"/>
      <c r="F185" s="192"/>
      <c r="G185" s="192"/>
      <c r="H185" s="192"/>
      <c r="I185" s="193"/>
      <c r="K185" s="138" t="s">
        <v>259</v>
      </c>
      <c r="L185" s="39"/>
      <c r="M185" s="39"/>
    </row>
    <row r="186" spans="3:18" ht="19.5" customHeight="1" x14ac:dyDescent="0.3">
      <c r="C186" s="111"/>
      <c r="D186" s="138" t="s">
        <v>18</v>
      </c>
      <c r="E186" s="110"/>
      <c r="F186" s="110"/>
      <c r="G186" s="110"/>
      <c r="H186" s="110"/>
      <c r="I186" s="129"/>
      <c r="J186" s="130"/>
      <c r="K186" s="138" t="s">
        <v>19</v>
      </c>
      <c r="L186" s="39"/>
      <c r="M186" s="39"/>
    </row>
    <row r="187" spans="3:18" ht="30" customHeight="1" x14ac:dyDescent="0.3">
      <c r="C187" s="111"/>
      <c r="D187" s="110"/>
      <c r="E187" s="110"/>
      <c r="F187" s="110"/>
      <c r="G187" s="192"/>
      <c r="H187" s="110"/>
      <c r="I187" s="129"/>
      <c r="J187" s="130"/>
      <c r="K187" s="110"/>
      <c r="L187" s="39"/>
      <c r="M187" s="39"/>
      <c r="N187" s="4"/>
      <c r="R187">
        <f>3120/15</f>
        <v>208</v>
      </c>
    </row>
    <row r="188" spans="3:18" ht="30" customHeight="1" x14ac:dyDescent="0.3">
      <c r="C188" s="111"/>
      <c r="D188" s="110"/>
      <c r="E188" s="110"/>
      <c r="F188" s="110"/>
      <c r="G188" s="110"/>
      <c r="H188" s="110"/>
      <c r="I188" s="129"/>
      <c r="J188" s="192">
        <f>F180+G180-H180-I180</f>
        <v>294524.5</v>
      </c>
      <c r="K188" s="110"/>
      <c r="L188" s="39"/>
      <c r="M188" s="39"/>
      <c r="N188" s="4"/>
    </row>
    <row r="189" spans="3:18" ht="30" customHeight="1" x14ac:dyDescent="0.4">
      <c r="C189" s="133"/>
      <c r="D189" s="133"/>
      <c r="E189" s="133"/>
      <c r="F189" s="133"/>
      <c r="G189" s="133"/>
      <c r="H189" s="133"/>
      <c r="I189" s="134"/>
      <c r="J189" s="191"/>
      <c r="K189" s="191"/>
      <c r="L189" s="39"/>
      <c r="M189" s="39"/>
      <c r="N189" s="10"/>
    </row>
    <row r="190" spans="3:18" ht="30" customHeight="1" x14ac:dyDescent="0.4">
      <c r="C190" s="133"/>
      <c r="D190" s="133"/>
      <c r="E190" s="133"/>
      <c r="F190" s="134"/>
      <c r="G190" s="135"/>
      <c r="H190" s="135"/>
      <c r="I190" s="134"/>
      <c r="J190" s="136"/>
      <c r="K190" s="135"/>
      <c r="L190" s="52"/>
      <c r="M190" s="52"/>
      <c r="N190" s="10"/>
    </row>
    <row r="191" spans="3:18" ht="15" customHeight="1" x14ac:dyDescent="0.25">
      <c r="C191" s="39"/>
      <c r="D191" s="39"/>
      <c r="E191" s="39"/>
      <c r="F191" s="39"/>
      <c r="G191" s="39"/>
      <c r="H191" s="39"/>
      <c r="I191" s="57"/>
      <c r="J191" s="39"/>
      <c r="K191" s="39"/>
      <c r="L191" s="39"/>
      <c r="M191" s="39"/>
      <c r="N191" s="10"/>
    </row>
    <row r="192" spans="3:18" ht="30" customHeight="1" x14ac:dyDescent="0.25">
      <c r="I192" s="25"/>
    </row>
    <row r="193" spans="6:15" ht="30" customHeight="1" x14ac:dyDescent="0.25">
      <c r="F193" s="10"/>
      <c r="G193" s="10"/>
      <c r="H193" s="10"/>
      <c r="I193" s="25"/>
      <c r="J193" s="12"/>
      <c r="L193" s="10"/>
      <c r="M193" s="10"/>
      <c r="N193" s="10"/>
    </row>
    <row r="194" spans="6:15" ht="15" customHeight="1" x14ac:dyDescent="0.25">
      <c r="F194" s="10"/>
      <c r="G194" s="10"/>
      <c r="H194" s="10"/>
      <c r="I194" s="25"/>
      <c r="J194" s="12"/>
      <c r="L194" s="10"/>
      <c r="M194" s="10"/>
      <c r="N194" s="10"/>
      <c r="O194" s="12"/>
    </row>
    <row r="195" spans="6:15" ht="30" customHeight="1" x14ac:dyDescent="0.25">
      <c r="F195" s="10"/>
      <c r="G195" s="10"/>
      <c r="H195" s="10"/>
      <c r="I195" s="25"/>
      <c r="J195" s="12"/>
      <c r="K195" s="10"/>
      <c r="L195" s="10"/>
      <c r="M195" s="10"/>
      <c r="N195" s="10"/>
    </row>
    <row r="196" spans="6:15" x14ac:dyDescent="0.25">
      <c r="I196" s="25"/>
      <c r="N196" s="23"/>
      <c r="O196" s="17"/>
    </row>
    <row r="197" spans="6:15" x14ac:dyDescent="0.25">
      <c r="I197" s="25"/>
    </row>
    <row r="198" spans="6:15" x14ac:dyDescent="0.25">
      <c r="F198" s="10"/>
      <c r="G198" s="10"/>
      <c r="H198" s="10"/>
      <c r="I198" s="25"/>
      <c r="K198" s="10"/>
      <c r="L198" s="10"/>
      <c r="M198" s="10"/>
      <c r="N198" s="12"/>
    </row>
    <row r="199" spans="6:15" x14ac:dyDescent="0.25">
      <c r="F199" s="10"/>
      <c r="G199" s="10"/>
      <c r="H199" s="10"/>
      <c r="I199" s="25"/>
      <c r="J199" s="12"/>
      <c r="K199" s="10"/>
      <c r="L199" s="10"/>
      <c r="M199" s="10"/>
    </row>
    <row r="200" spans="6:15" x14ac:dyDescent="0.25">
      <c r="I200" s="25"/>
    </row>
    <row r="201" spans="6:15" x14ac:dyDescent="0.25">
      <c r="F201" s="10"/>
      <c r="G201" s="10"/>
      <c r="H201" s="10"/>
      <c r="I201" s="25"/>
      <c r="J201" s="12"/>
      <c r="K201" s="10"/>
      <c r="L201" s="10"/>
      <c r="M201" s="10"/>
    </row>
    <row r="202" spans="6:15" x14ac:dyDescent="0.25">
      <c r="I202" s="25"/>
    </row>
    <row r="203" spans="6:15" x14ac:dyDescent="0.25">
      <c r="I203" s="25"/>
    </row>
    <row r="204" spans="6:15" x14ac:dyDescent="0.25">
      <c r="F204" s="10"/>
      <c r="G204" s="10"/>
      <c r="H204" s="10"/>
      <c r="I204" s="25"/>
      <c r="J204" s="12"/>
      <c r="K204" s="10"/>
      <c r="L204" s="10"/>
      <c r="M204" s="10"/>
      <c r="O204" s="27"/>
    </row>
    <row r="205" spans="6:15" x14ac:dyDescent="0.25">
      <c r="F205" s="10"/>
      <c r="G205" s="10"/>
      <c r="H205" s="10"/>
      <c r="I205" s="25"/>
      <c r="J205" s="12"/>
      <c r="K205" s="10"/>
      <c r="L205" s="10"/>
      <c r="M205" s="10"/>
    </row>
    <row r="206" spans="6:15" x14ac:dyDescent="0.25">
      <c r="I206" s="25"/>
    </row>
    <row r="207" spans="6:15" ht="30" customHeight="1" x14ac:dyDescent="0.25">
      <c r="F207" s="10"/>
      <c r="G207" s="10"/>
      <c r="H207" s="10"/>
      <c r="I207" s="25"/>
      <c r="J207" s="12"/>
      <c r="K207" s="10"/>
      <c r="L207" s="10"/>
      <c r="M207" s="10"/>
    </row>
    <row r="208" spans="6:15" x14ac:dyDescent="0.25">
      <c r="I208" s="25"/>
      <c r="N208" s="10"/>
    </row>
    <row r="209" spans="4:19" x14ac:dyDescent="0.25">
      <c r="D209" s="13"/>
      <c r="F209" s="25"/>
      <c r="G209" s="25"/>
      <c r="H209" s="25"/>
      <c r="I209" s="25"/>
      <c r="J209" s="12"/>
      <c r="K209" s="25"/>
      <c r="L209" s="25"/>
      <c r="M209" s="25"/>
    </row>
    <row r="210" spans="4:19" ht="30" customHeight="1" x14ac:dyDescent="0.25">
      <c r="F210" s="25"/>
      <c r="G210" s="25"/>
      <c r="H210" s="25"/>
      <c r="I210" s="25"/>
      <c r="J210" s="12"/>
      <c r="K210" s="25"/>
      <c r="L210" s="25"/>
      <c r="M210" s="25"/>
    </row>
    <row r="211" spans="4:19" ht="30" customHeight="1" x14ac:dyDescent="0.25">
      <c r="F211" s="23"/>
      <c r="G211" s="23"/>
      <c r="H211" s="23"/>
      <c r="I211" s="78"/>
      <c r="J211" s="23"/>
      <c r="K211" s="10"/>
      <c r="L211" s="10"/>
      <c r="M211" s="10"/>
      <c r="N211" s="10"/>
    </row>
    <row r="212" spans="4:19" ht="30" customHeight="1" x14ac:dyDescent="0.25">
      <c r="F212" s="10"/>
      <c r="G212" s="10"/>
      <c r="H212" s="10"/>
      <c r="I212" s="25"/>
      <c r="J212" s="12"/>
      <c r="K212" s="10"/>
      <c r="L212" s="10"/>
      <c r="M212" s="10"/>
      <c r="N212" s="10"/>
    </row>
    <row r="213" spans="4:19" x14ac:dyDescent="0.25">
      <c r="I213" s="25"/>
      <c r="N213" s="10"/>
    </row>
    <row r="214" spans="4:19" x14ac:dyDescent="0.25">
      <c r="I214" s="25"/>
    </row>
    <row r="215" spans="4:19" ht="30" customHeight="1" x14ac:dyDescent="0.25">
      <c r="F215" s="10"/>
      <c r="G215" s="10"/>
      <c r="H215" s="103"/>
      <c r="I215" s="146"/>
      <c r="J215" s="12"/>
      <c r="K215" s="10"/>
      <c r="L215" s="10"/>
      <c r="M215" s="10"/>
      <c r="S215" s="10"/>
    </row>
    <row r="216" spans="4:19" ht="30" customHeight="1" x14ac:dyDescent="0.25">
      <c r="I216" s="25"/>
    </row>
    <row r="217" spans="4:19" x14ac:dyDescent="0.25">
      <c r="I217" s="25"/>
    </row>
    <row r="218" spans="4:19" ht="30" customHeight="1" x14ac:dyDescent="0.25">
      <c r="F218" s="10"/>
      <c r="G218" s="10"/>
      <c r="H218" s="10"/>
      <c r="I218" s="25"/>
      <c r="J218" s="12"/>
      <c r="K218" s="10"/>
      <c r="L218" s="10"/>
      <c r="M218" s="10"/>
    </row>
    <row r="219" spans="4:19" x14ac:dyDescent="0.25">
      <c r="I219" s="25"/>
      <c r="N219" s="10"/>
    </row>
    <row r="220" spans="4:19" x14ac:dyDescent="0.25">
      <c r="I220" s="25"/>
    </row>
    <row r="221" spans="4:19" ht="30" customHeight="1" x14ac:dyDescent="0.25">
      <c r="I221" s="25"/>
    </row>
    <row r="222" spans="4:19" ht="30" customHeight="1" x14ac:dyDescent="0.25">
      <c r="F222" s="25"/>
      <c r="G222" s="25"/>
      <c r="H222" s="25"/>
      <c r="I222" s="25"/>
      <c r="J222" s="12"/>
      <c r="K222" s="25"/>
      <c r="L222" s="25"/>
      <c r="M222" s="25"/>
    </row>
    <row r="223" spans="4:19" x14ac:dyDescent="0.25">
      <c r="F223" s="10"/>
      <c r="G223" s="10"/>
      <c r="H223" s="10"/>
      <c r="I223" s="25"/>
      <c r="J223" s="12"/>
      <c r="K223" s="10"/>
      <c r="L223" s="10"/>
      <c r="M223" s="10"/>
    </row>
    <row r="224" spans="4:19" ht="30" customHeight="1" x14ac:dyDescent="0.25">
      <c r="I224" s="25"/>
      <c r="S224" s="10"/>
    </row>
    <row r="225" spans="4:14" x14ac:dyDescent="0.25">
      <c r="I225" s="25"/>
    </row>
    <row r="226" spans="4:14" ht="15" customHeight="1" x14ac:dyDescent="0.25">
      <c r="F226" s="10"/>
      <c r="G226" s="10"/>
      <c r="H226" s="10"/>
      <c r="I226" s="25"/>
      <c r="J226" s="12"/>
      <c r="K226" s="10"/>
      <c r="L226" s="10"/>
      <c r="M226" s="10"/>
    </row>
    <row r="227" spans="4:14" ht="30" customHeight="1" x14ac:dyDescent="0.25">
      <c r="I227" s="25"/>
      <c r="N227" s="10"/>
    </row>
    <row r="228" spans="4:14" ht="30" customHeight="1" x14ac:dyDescent="0.25">
      <c r="I228" s="25"/>
      <c r="N228" s="10"/>
    </row>
    <row r="229" spans="4:14" ht="30" customHeight="1" x14ac:dyDescent="0.25">
      <c r="F229" s="10"/>
      <c r="G229" s="10"/>
      <c r="H229" s="10"/>
      <c r="I229" s="25"/>
      <c r="J229" s="12"/>
      <c r="K229" s="10"/>
      <c r="L229" s="10"/>
      <c r="M229" s="10"/>
      <c r="N229" s="10"/>
    </row>
    <row r="230" spans="4:14" x14ac:dyDescent="0.25">
      <c r="I230" s="25"/>
      <c r="N230" s="10"/>
    </row>
    <row r="231" spans="4:14" x14ac:dyDescent="0.25">
      <c r="D231" s="13"/>
      <c r="F231" s="10"/>
      <c r="G231" s="10"/>
      <c r="H231" s="10"/>
      <c r="I231" s="25"/>
      <c r="J231" s="12"/>
      <c r="K231" s="10"/>
      <c r="L231" s="10"/>
      <c r="M231" s="10"/>
    </row>
    <row r="232" spans="4:14" ht="30" customHeight="1" x14ac:dyDescent="0.25">
      <c r="F232" s="10"/>
      <c r="G232" s="10"/>
      <c r="H232" s="10"/>
      <c r="I232" s="25"/>
      <c r="J232" s="12"/>
      <c r="K232" s="10"/>
      <c r="L232" s="10"/>
      <c r="M232" s="10"/>
    </row>
    <row r="233" spans="4:14" x14ac:dyDescent="0.25">
      <c r="F233" s="23"/>
      <c r="G233" s="23"/>
      <c r="H233" s="23"/>
      <c r="I233" s="78"/>
      <c r="J233" s="23"/>
      <c r="K233" s="10"/>
      <c r="L233" s="10"/>
      <c r="M233" s="10"/>
    </row>
    <row r="234" spans="4:14" x14ac:dyDescent="0.25">
      <c r="I234" s="25"/>
    </row>
    <row r="235" spans="4:14" ht="30" customHeight="1" x14ac:dyDescent="0.25">
      <c r="F235" s="10"/>
      <c r="G235" s="10"/>
      <c r="H235" s="10"/>
      <c r="I235" s="25"/>
      <c r="J235" s="12"/>
      <c r="K235" s="10"/>
      <c r="L235" s="10"/>
      <c r="M235" s="10"/>
    </row>
    <row r="236" spans="4:14" x14ac:dyDescent="0.25">
      <c r="I236" s="25"/>
    </row>
    <row r="237" spans="4:14" x14ac:dyDescent="0.25">
      <c r="I237" s="25"/>
    </row>
    <row r="238" spans="4:14" x14ac:dyDescent="0.25">
      <c r="I238" s="25"/>
    </row>
    <row r="239" spans="4:14" ht="30" customHeight="1" x14ac:dyDescent="0.25">
      <c r="I239" s="25"/>
    </row>
    <row r="240" spans="4:14" ht="30" customHeight="1" x14ac:dyDescent="0.25">
      <c r="I240" s="25"/>
      <c r="N240" s="10"/>
    </row>
    <row r="241" spans="4:14" x14ac:dyDescent="0.25">
      <c r="D241" s="13"/>
      <c r="F241" s="10"/>
      <c r="G241" s="10"/>
      <c r="H241" s="10"/>
      <c r="I241" s="25"/>
      <c r="J241" s="12"/>
      <c r="K241" s="10"/>
      <c r="L241" s="10"/>
      <c r="M241" s="10"/>
      <c r="N241" s="10"/>
    </row>
    <row r="242" spans="4:14" x14ac:dyDescent="0.25">
      <c r="F242" s="10"/>
      <c r="G242" s="10"/>
      <c r="H242" s="10"/>
      <c r="I242" s="25"/>
      <c r="J242" s="12"/>
      <c r="K242" s="10"/>
      <c r="L242" s="10"/>
      <c r="M242" s="10"/>
    </row>
    <row r="243" spans="4:14" ht="30" customHeight="1" x14ac:dyDescent="0.25">
      <c r="F243" s="10"/>
      <c r="G243" s="10"/>
      <c r="H243" s="10"/>
      <c r="I243" s="25"/>
      <c r="J243" s="12"/>
      <c r="K243" s="10"/>
      <c r="L243" s="10"/>
      <c r="M243" s="10"/>
    </row>
    <row r="244" spans="4:14" x14ac:dyDescent="0.25">
      <c r="F244" s="10"/>
      <c r="G244" s="10"/>
      <c r="H244" s="10"/>
      <c r="I244" s="25"/>
      <c r="J244" s="12"/>
      <c r="K244" s="10"/>
      <c r="L244" s="10"/>
      <c r="M244" s="10"/>
      <c r="N244" s="10"/>
    </row>
    <row r="245" spans="4:14" x14ac:dyDescent="0.25">
      <c r="F245" s="10"/>
      <c r="G245" s="10"/>
      <c r="H245" s="10"/>
      <c r="I245" s="25"/>
      <c r="J245" s="12"/>
      <c r="K245" s="10"/>
      <c r="L245" s="10"/>
      <c r="M245" s="10"/>
    </row>
    <row r="246" spans="4:14" ht="30" customHeight="1" x14ac:dyDescent="0.25">
      <c r="F246" s="10"/>
      <c r="G246" s="10"/>
      <c r="H246" s="10"/>
      <c r="I246" s="25"/>
      <c r="J246" s="12"/>
      <c r="K246" s="10"/>
      <c r="L246" s="10"/>
      <c r="M246" s="10"/>
    </row>
    <row r="247" spans="4:14" x14ac:dyDescent="0.25">
      <c r="I247" s="25"/>
      <c r="N247" s="10"/>
    </row>
    <row r="248" spans="4:14" ht="15" customHeight="1" x14ac:dyDescent="0.25">
      <c r="F248" s="10"/>
      <c r="G248" s="10"/>
      <c r="H248" s="10"/>
      <c r="I248" s="25"/>
      <c r="J248" s="12"/>
      <c r="K248" s="10"/>
      <c r="L248" s="10"/>
      <c r="M248" s="10"/>
    </row>
    <row r="249" spans="4:14" ht="30" customHeight="1" x14ac:dyDescent="0.25">
      <c r="I249" s="25"/>
      <c r="N249" s="10"/>
    </row>
    <row r="250" spans="4:14" ht="30" customHeight="1" x14ac:dyDescent="0.25">
      <c r="F250" s="10"/>
      <c r="G250" s="10"/>
      <c r="H250" s="10"/>
      <c r="I250" s="25"/>
      <c r="J250" s="12"/>
      <c r="K250" s="10"/>
      <c r="L250" s="10"/>
      <c r="M250" s="10"/>
      <c r="N250" s="10"/>
    </row>
    <row r="251" spans="4:14" x14ac:dyDescent="0.25">
      <c r="I251" s="25"/>
      <c r="N251" s="10"/>
    </row>
    <row r="252" spans="4:14" ht="30" customHeight="1" x14ac:dyDescent="0.25">
      <c r="I252" s="25"/>
    </row>
    <row r="253" spans="4:14" x14ac:dyDescent="0.25">
      <c r="F253" s="10"/>
      <c r="G253" s="10"/>
      <c r="H253" s="10"/>
      <c r="I253" s="25"/>
      <c r="J253" s="12"/>
      <c r="K253" s="10"/>
      <c r="L253" s="10"/>
      <c r="M253" s="10"/>
      <c r="N253" s="10"/>
    </row>
    <row r="254" spans="4:14" x14ac:dyDescent="0.25">
      <c r="I254" s="25"/>
    </row>
    <row r="255" spans="4:14" x14ac:dyDescent="0.25">
      <c r="I255" s="25"/>
    </row>
    <row r="256" spans="4:14" x14ac:dyDescent="0.25">
      <c r="D256" s="13"/>
      <c r="F256" s="10"/>
      <c r="G256" s="10"/>
      <c r="H256" s="10"/>
      <c r="I256" s="25"/>
      <c r="J256" s="12"/>
      <c r="K256" s="10"/>
      <c r="L256" s="10"/>
      <c r="M256" s="10"/>
    </row>
    <row r="257" spans="4:14" x14ac:dyDescent="0.25">
      <c r="F257" s="10"/>
      <c r="G257" s="10"/>
      <c r="H257" s="10"/>
      <c r="I257" s="25"/>
      <c r="J257" s="12"/>
      <c r="K257" s="10"/>
      <c r="L257" s="10"/>
      <c r="M257" s="10"/>
    </row>
    <row r="258" spans="4:14" ht="15" customHeight="1" x14ac:dyDescent="0.25">
      <c r="F258" s="23"/>
      <c r="G258" s="23"/>
      <c r="H258" s="23"/>
      <c r="I258" s="78"/>
      <c r="J258" s="23"/>
      <c r="K258" s="10"/>
      <c r="L258" s="10"/>
      <c r="M258" s="10"/>
    </row>
    <row r="259" spans="4:14" ht="30" customHeight="1" x14ac:dyDescent="0.25">
      <c r="I259" s="25"/>
      <c r="N259" s="10"/>
    </row>
    <row r="260" spans="4:14" ht="30" customHeight="1" x14ac:dyDescent="0.25">
      <c r="F260" s="10"/>
      <c r="G260" s="10"/>
      <c r="H260" s="10"/>
      <c r="I260" s="25"/>
      <c r="J260" s="12"/>
      <c r="K260" s="10"/>
      <c r="L260" s="10"/>
      <c r="M260" s="10"/>
      <c r="N260" s="10"/>
    </row>
    <row r="261" spans="4:14" ht="30" customHeight="1" x14ac:dyDescent="0.25">
      <c r="I261" s="25"/>
    </row>
    <row r="262" spans="4:14" ht="30" customHeight="1" x14ac:dyDescent="0.25">
      <c r="I262" s="25"/>
    </row>
    <row r="263" spans="4:14" ht="30" customHeight="1" x14ac:dyDescent="0.25">
      <c r="F263" s="10"/>
      <c r="G263" s="10"/>
      <c r="H263" s="10"/>
      <c r="I263" s="25"/>
      <c r="J263" s="12"/>
      <c r="K263" s="10"/>
      <c r="L263" s="10"/>
      <c r="M263" s="10"/>
    </row>
    <row r="264" spans="4:14" x14ac:dyDescent="0.25">
      <c r="I264" s="25"/>
      <c r="N264" s="10"/>
    </row>
    <row r="265" spans="4:14" ht="30" customHeight="1" x14ac:dyDescent="0.25">
      <c r="I265" s="25"/>
    </row>
    <row r="266" spans="4:14" x14ac:dyDescent="0.25">
      <c r="D266" s="13"/>
      <c r="F266" s="10"/>
      <c r="G266" s="10"/>
      <c r="H266" s="10"/>
      <c r="I266" s="25"/>
      <c r="J266" s="12"/>
      <c r="K266" s="10"/>
      <c r="L266" s="10"/>
      <c r="M266" s="10"/>
      <c r="N266" s="10"/>
    </row>
    <row r="267" spans="4:14" ht="30" customHeight="1" x14ac:dyDescent="0.25">
      <c r="F267" s="10"/>
      <c r="G267" s="10"/>
      <c r="H267" s="10"/>
      <c r="I267" s="25"/>
      <c r="J267" s="12"/>
      <c r="K267" s="10"/>
      <c r="L267" s="10"/>
      <c r="M267" s="10"/>
    </row>
    <row r="268" spans="4:14" x14ac:dyDescent="0.25">
      <c r="F268" s="23"/>
      <c r="G268" s="23"/>
      <c r="H268" s="23"/>
      <c r="I268" s="78"/>
      <c r="J268" s="23"/>
      <c r="K268" s="10"/>
      <c r="L268" s="10"/>
      <c r="M268" s="10"/>
      <c r="N268" s="10"/>
    </row>
    <row r="269" spans="4:14" x14ac:dyDescent="0.25">
      <c r="F269" s="10"/>
      <c r="G269" s="10"/>
      <c r="H269" s="10"/>
      <c r="I269" s="25"/>
      <c r="J269" s="12"/>
      <c r="K269" s="10"/>
      <c r="L269" s="10"/>
      <c r="M269" s="10"/>
    </row>
    <row r="270" spans="4:14" ht="30" customHeight="1" x14ac:dyDescent="0.25">
      <c r="I270" s="25"/>
    </row>
    <row r="271" spans="4:14" x14ac:dyDescent="0.25">
      <c r="F271" s="25"/>
      <c r="G271" s="10"/>
      <c r="H271" s="10"/>
      <c r="I271" s="25"/>
      <c r="J271" s="12"/>
      <c r="K271" s="10"/>
      <c r="L271" s="10"/>
      <c r="M271" s="10"/>
      <c r="N271" s="10"/>
    </row>
    <row r="272" spans="4:14" x14ac:dyDescent="0.25">
      <c r="F272" s="25"/>
      <c r="G272" s="10"/>
      <c r="H272" s="10"/>
      <c r="I272" s="25"/>
      <c r="J272" s="12"/>
      <c r="K272" s="10"/>
      <c r="L272" s="10"/>
      <c r="M272" s="10"/>
    </row>
    <row r="273" spans="4:19" ht="15" customHeight="1" x14ac:dyDescent="0.25">
      <c r="F273" s="25"/>
      <c r="G273" s="10"/>
      <c r="H273" s="10"/>
      <c r="I273" s="25"/>
      <c r="J273" s="12"/>
      <c r="K273" s="10"/>
      <c r="L273" s="10"/>
      <c r="M273" s="10"/>
    </row>
    <row r="274" spans="4:19" ht="30" customHeight="1" x14ac:dyDescent="0.25">
      <c r="F274" s="25"/>
      <c r="G274" s="10"/>
      <c r="H274" s="10"/>
      <c r="I274" s="25"/>
      <c r="J274" s="12"/>
      <c r="K274" s="10"/>
      <c r="L274" s="10"/>
      <c r="M274" s="10"/>
      <c r="N274" s="10"/>
    </row>
    <row r="275" spans="4:19" ht="30" customHeight="1" x14ac:dyDescent="0.25">
      <c r="I275" s="25"/>
      <c r="N275" s="10"/>
    </row>
    <row r="276" spans="4:19" x14ac:dyDescent="0.25">
      <c r="F276" s="25"/>
      <c r="G276" s="10"/>
      <c r="H276" s="10"/>
      <c r="I276" s="25"/>
      <c r="J276" s="12"/>
      <c r="K276" s="10"/>
      <c r="L276" s="10"/>
      <c r="M276" s="10"/>
      <c r="N276" s="10"/>
      <c r="O276" s="27"/>
    </row>
    <row r="277" spans="4:19" ht="30" customHeight="1" x14ac:dyDescent="0.25">
      <c r="F277" s="25"/>
      <c r="G277" s="10"/>
      <c r="H277" s="10"/>
      <c r="I277" s="25"/>
      <c r="J277" s="12"/>
      <c r="K277" s="10"/>
      <c r="L277" s="10"/>
      <c r="M277" s="10"/>
      <c r="P277" s="232"/>
      <c r="Q277" s="232"/>
      <c r="R277" s="232"/>
      <c r="S277" s="232"/>
    </row>
    <row r="278" spans="4:19" x14ac:dyDescent="0.25">
      <c r="F278" s="25"/>
      <c r="G278" s="10"/>
      <c r="H278" s="10"/>
      <c r="I278" s="25"/>
      <c r="J278" s="12"/>
      <c r="K278" s="10"/>
      <c r="L278" s="10"/>
      <c r="M278" s="10"/>
      <c r="N278" s="10"/>
    </row>
    <row r="279" spans="4:19" x14ac:dyDescent="0.25">
      <c r="I279" s="25"/>
    </row>
    <row r="280" spans="4:19" ht="30" customHeight="1" x14ac:dyDescent="0.25">
      <c r="I280" s="25"/>
    </row>
    <row r="281" spans="4:19" x14ac:dyDescent="0.25">
      <c r="D281" s="13"/>
      <c r="F281" s="25"/>
      <c r="G281" s="10"/>
      <c r="H281" s="10"/>
      <c r="I281" s="25"/>
      <c r="J281" s="12"/>
      <c r="K281" s="10"/>
      <c r="L281" s="10"/>
      <c r="M281" s="10"/>
      <c r="N281" s="10"/>
    </row>
    <row r="282" spans="4:19" x14ac:dyDescent="0.25">
      <c r="F282" s="25"/>
      <c r="G282" s="10"/>
      <c r="H282" s="10"/>
      <c r="I282" s="25"/>
      <c r="J282" s="12"/>
      <c r="K282" s="10"/>
      <c r="L282" s="10"/>
      <c r="M282" s="10"/>
    </row>
    <row r="283" spans="4:19" ht="15" customHeight="1" x14ac:dyDescent="0.25">
      <c r="F283" s="78"/>
      <c r="G283" s="23"/>
      <c r="H283" s="23"/>
      <c r="I283" s="78"/>
      <c r="J283" s="23"/>
      <c r="K283" s="10"/>
      <c r="L283" s="10"/>
      <c r="M283" s="10"/>
    </row>
    <row r="284" spans="4:19" ht="30" customHeight="1" x14ac:dyDescent="0.25">
      <c r="F284" s="25"/>
      <c r="G284" s="10"/>
      <c r="H284" s="10"/>
      <c r="I284" s="25"/>
      <c r="J284" s="12"/>
      <c r="K284" s="10"/>
      <c r="L284" s="10"/>
      <c r="M284" s="10"/>
      <c r="N284" s="10"/>
    </row>
    <row r="285" spans="4:19" ht="30" customHeight="1" x14ac:dyDescent="0.25">
      <c r="I285" s="25"/>
      <c r="N285" s="10"/>
    </row>
    <row r="286" spans="4:19" ht="30" customHeight="1" x14ac:dyDescent="0.25">
      <c r="I286" s="25"/>
      <c r="N286" s="10"/>
    </row>
    <row r="287" spans="4:19" x14ac:dyDescent="0.25">
      <c r="F287" s="10"/>
      <c r="G287" s="10"/>
      <c r="H287" s="10"/>
      <c r="I287" s="25"/>
      <c r="J287" s="12"/>
      <c r="K287" s="10"/>
      <c r="L287" s="10"/>
      <c r="M287" s="10"/>
      <c r="N287" s="10"/>
    </row>
    <row r="288" spans="4:19" ht="30" customHeight="1" x14ac:dyDescent="0.25">
      <c r="I288" s="25"/>
    </row>
    <row r="289" spans="6:16" ht="30" customHeight="1" x14ac:dyDescent="0.25">
      <c r="I289" s="25"/>
      <c r="N289" s="10"/>
    </row>
    <row r="290" spans="6:16" ht="30" customHeight="1" x14ac:dyDescent="0.25">
      <c r="F290" s="25"/>
      <c r="G290" s="10"/>
      <c r="H290" s="10"/>
      <c r="I290" s="25"/>
      <c r="J290" s="12"/>
      <c r="K290" s="10"/>
      <c r="L290" s="10"/>
      <c r="M290" s="10"/>
      <c r="N290" s="10"/>
    </row>
    <row r="291" spans="6:16" ht="30" customHeight="1" x14ac:dyDescent="0.25">
      <c r="I291" s="25"/>
      <c r="N291" s="10"/>
    </row>
    <row r="292" spans="6:16" x14ac:dyDescent="0.25">
      <c r="F292" s="25"/>
      <c r="G292" s="10"/>
      <c r="H292" s="10"/>
      <c r="I292" s="25"/>
      <c r="J292" s="12"/>
      <c r="K292" s="10"/>
      <c r="L292" s="10"/>
      <c r="M292" s="10"/>
      <c r="N292" s="10"/>
      <c r="O292" s="17"/>
    </row>
    <row r="293" spans="6:16" ht="30" customHeight="1" x14ac:dyDescent="0.25">
      <c r="F293" s="25"/>
      <c r="G293" s="10"/>
      <c r="H293" s="10"/>
      <c r="I293" s="25"/>
      <c r="J293" s="12"/>
      <c r="K293" s="10"/>
      <c r="L293" s="10"/>
      <c r="M293" s="10"/>
      <c r="O293" s="17"/>
    </row>
    <row r="294" spans="6:16" ht="30" customHeight="1" x14ac:dyDescent="0.25">
      <c r="I294" s="25"/>
      <c r="N294" s="27"/>
      <c r="O294" s="17"/>
    </row>
    <row r="295" spans="6:16" ht="30" customHeight="1" x14ac:dyDescent="0.25">
      <c r="I295" s="25"/>
      <c r="N295" s="27"/>
    </row>
    <row r="296" spans="6:16" x14ac:dyDescent="0.25">
      <c r="I296" s="25"/>
      <c r="N296" s="27"/>
    </row>
    <row r="297" spans="6:16" x14ac:dyDescent="0.25">
      <c r="I297" s="25"/>
    </row>
    <row r="298" spans="6:16" ht="15" customHeight="1" x14ac:dyDescent="0.25">
      <c r="I298" s="25"/>
    </row>
    <row r="299" spans="6:16" ht="30" customHeight="1" x14ac:dyDescent="0.25">
      <c r="I299" s="25"/>
      <c r="N299" s="10"/>
    </row>
    <row r="300" spans="6:16" ht="30" customHeight="1" x14ac:dyDescent="0.25">
      <c r="I300" s="25"/>
      <c r="N300" s="10"/>
      <c r="O300" s="104"/>
    </row>
    <row r="301" spans="6:16" ht="30" customHeight="1" x14ac:dyDescent="0.25">
      <c r="I301" s="25"/>
      <c r="N301" s="10"/>
      <c r="P301" s="104"/>
    </row>
    <row r="302" spans="6:16" x14ac:dyDescent="0.25">
      <c r="I302" s="25"/>
      <c r="N302" s="105"/>
    </row>
    <row r="303" spans="6:16" x14ac:dyDescent="0.25">
      <c r="I303" s="25"/>
      <c r="O303" s="17"/>
    </row>
    <row r="304" spans="6:16" ht="30" customHeight="1" x14ac:dyDescent="0.25">
      <c r="I304" s="25"/>
    </row>
    <row r="305" spans="6:15" x14ac:dyDescent="0.25">
      <c r="I305" s="25"/>
      <c r="N305" s="27"/>
    </row>
    <row r="306" spans="6:15" x14ac:dyDescent="0.25">
      <c r="I306" s="25"/>
      <c r="O306" s="17"/>
    </row>
    <row r="307" spans="6:15" ht="30" customHeight="1" x14ac:dyDescent="0.25">
      <c r="F307" s="25"/>
      <c r="G307" s="10"/>
      <c r="H307" s="10"/>
      <c r="I307" s="25"/>
      <c r="J307" s="12"/>
      <c r="K307" s="10"/>
      <c r="L307" s="10"/>
      <c r="M307" s="10"/>
    </row>
    <row r="308" spans="6:15" x14ac:dyDescent="0.25">
      <c r="I308" s="25"/>
      <c r="N308" s="27"/>
    </row>
    <row r="309" spans="6:15" ht="30" customHeight="1" x14ac:dyDescent="0.25">
      <c r="F309" s="25"/>
      <c r="G309" s="10"/>
      <c r="H309" s="10"/>
      <c r="I309" s="25"/>
      <c r="J309" s="12"/>
      <c r="K309" s="10"/>
      <c r="L309" s="10"/>
      <c r="M309" s="10"/>
    </row>
    <row r="310" spans="6:15" ht="30" customHeight="1" x14ac:dyDescent="0.25">
      <c r="I310" s="25"/>
      <c r="N310" s="10"/>
    </row>
    <row r="311" spans="6:15" x14ac:dyDescent="0.25">
      <c r="I311" s="25"/>
      <c r="N311" s="10"/>
    </row>
    <row r="312" spans="6:15" x14ac:dyDescent="0.25">
      <c r="I312" s="25"/>
    </row>
    <row r="313" spans="6:15" x14ac:dyDescent="0.25">
      <c r="I313" s="25"/>
    </row>
    <row r="314" spans="6:15" x14ac:dyDescent="0.25">
      <c r="I314" s="25"/>
    </row>
    <row r="315" spans="6:15" x14ac:dyDescent="0.25">
      <c r="I315" s="25"/>
    </row>
    <row r="316" spans="6:15" x14ac:dyDescent="0.25">
      <c r="I316" s="25"/>
    </row>
    <row r="317" spans="6:15" x14ac:dyDescent="0.25">
      <c r="I317" s="25"/>
    </row>
    <row r="318" spans="6:15" x14ac:dyDescent="0.25">
      <c r="I318" s="25"/>
    </row>
    <row r="319" spans="6:15" x14ac:dyDescent="0.25">
      <c r="I319" s="25"/>
    </row>
    <row r="320" spans="6:15" x14ac:dyDescent="0.25">
      <c r="I320" s="25"/>
    </row>
    <row r="321" spans="9:9" x14ac:dyDescent="0.25">
      <c r="I321" s="25"/>
    </row>
    <row r="322" spans="9:9" x14ac:dyDescent="0.25">
      <c r="I322" s="25"/>
    </row>
    <row r="323" spans="9:9" x14ac:dyDescent="0.25">
      <c r="I323" s="25"/>
    </row>
    <row r="324" spans="9:9" ht="30" customHeight="1" x14ac:dyDescent="0.25">
      <c r="I324" s="25"/>
    </row>
    <row r="325" spans="9:9" x14ac:dyDescent="0.25">
      <c r="I325" s="25"/>
    </row>
    <row r="326" spans="9:9" ht="30" customHeight="1" x14ac:dyDescent="0.25">
      <c r="I326" s="25"/>
    </row>
    <row r="327" spans="9:9" x14ac:dyDescent="0.25">
      <c r="I327" s="25"/>
    </row>
    <row r="328" spans="9:9" x14ac:dyDescent="0.25">
      <c r="I328" s="25"/>
    </row>
    <row r="329" spans="9:9" x14ac:dyDescent="0.25">
      <c r="I329" s="25"/>
    </row>
    <row r="330" spans="9:9" x14ac:dyDescent="0.25">
      <c r="I330" s="25"/>
    </row>
    <row r="331" spans="9:9" x14ac:dyDescent="0.25">
      <c r="I331" s="25"/>
    </row>
    <row r="332" spans="9:9" x14ac:dyDescent="0.25">
      <c r="I332" s="25"/>
    </row>
    <row r="333" spans="9:9" x14ac:dyDescent="0.25">
      <c r="I333" s="25"/>
    </row>
    <row r="334" spans="9:9" x14ac:dyDescent="0.25">
      <c r="I334" s="25"/>
    </row>
    <row r="335" spans="9:9" x14ac:dyDescent="0.25">
      <c r="I335" s="25"/>
    </row>
    <row r="336" spans="9:9" x14ac:dyDescent="0.25">
      <c r="I336" s="25"/>
    </row>
    <row r="337" spans="9:9" x14ac:dyDescent="0.25">
      <c r="I337" s="25"/>
    </row>
    <row r="338" spans="9:9" x14ac:dyDescent="0.25">
      <c r="I338" s="25"/>
    </row>
    <row r="339" spans="9:9" x14ac:dyDescent="0.25">
      <c r="I339" s="25"/>
    </row>
    <row r="340" spans="9:9" x14ac:dyDescent="0.25">
      <c r="I340" s="25"/>
    </row>
    <row r="341" spans="9:9" x14ac:dyDescent="0.25">
      <c r="I341" s="25"/>
    </row>
    <row r="342" spans="9:9" x14ac:dyDescent="0.25">
      <c r="I342" s="25"/>
    </row>
    <row r="343" spans="9:9" x14ac:dyDescent="0.25">
      <c r="I343" s="25"/>
    </row>
    <row r="344" spans="9:9" x14ac:dyDescent="0.25">
      <c r="I344" s="25"/>
    </row>
    <row r="345" spans="9:9" x14ac:dyDescent="0.25">
      <c r="I345" s="25"/>
    </row>
    <row r="346" spans="9:9" x14ac:dyDescent="0.25">
      <c r="I346" s="25"/>
    </row>
    <row r="347" spans="9:9" x14ac:dyDescent="0.25">
      <c r="I347" s="25"/>
    </row>
    <row r="348" spans="9:9" x14ac:dyDescent="0.25">
      <c r="I348" s="25"/>
    </row>
    <row r="349" spans="9:9" x14ac:dyDescent="0.25">
      <c r="I349" s="25"/>
    </row>
    <row r="350" spans="9:9" x14ac:dyDescent="0.25">
      <c r="I350" s="25"/>
    </row>
    <row r="351" spans="9:9" x14ac:dyDescent="0.25">
      <c r="I351" s="25"/>
    </row>
    <row r="352" spans="9:9" x14ac:dyDescent="0.25">
      <c r="I352" s="25"/>
    </row>
    <row r="353" spans="9:9" x14ac:dyDescent="0.25">
      <c r="I353" s="25"/>
    </row>
    <row r="354" spans="9:9" x14ac:dyDescent="0.25">
      <c r="I354" s="25"/>
    </row>
    <row r="355" spans="9:9" x14ac:dyDescent="0.25">
      <c r="I355" s="25"/>
    </row>
    <row r="356" spans="9:9" x14ac:dyDescent="0.25">
      <c r="I356" s="25"/>
    </row>
    <row r="357" spans="9:9" x14ac:dyDescent="0.25">
      <c r="I357" s="25"/>
    </row>
    <row r="358" spans="9:9" x14ac:dyDescent="0.25">
      <c r="I358" s="25"/>
    </row>
    <row r="359" spans="9:9" x14ac:dyDescent="0.25">
      <c r="I359" s="25"/>
    </row>
    <row r="360" spans="9:9" x14ac:dyDescent="0.25">
      <c r="I360" s="25"/>
    </row>
    <row r="361" spans="9:9" x14ac:dyDescent="0.25">
      <c r="I361" s="25"/>
    </row>
    <row r="362" spans="9:9" x14ac:dyDescent="0.25">
      <c r="I362" s="25"/>
    </row>
    <row r="363" spans="9:9" x14ac:dyDescent="0.25">
      <c r="I363" s="25"/>
    </row>
    <row r="364" spans="9:9" x14ac:dyDescent="0.25">
      <c r="I364" s="25"/>
    </row>
    <row r="365" spans="9:9" x14ac:dyDescent="0.25">
      <c r="I365" s="25"/>
    </row>
    <row r="366" spans="9:9" x14ac:dyDescent="0.25">
      <c r="I366" s="25"/>
    </row>
  </sheetData>
  <mergeCells count="8">
    <mergeCell ref="P277:S277"/>
    <mergeCell ref="C2:E2"/>
    <mergeCell ref="D98:F98"/>
    <mergeCell ref="D34:F34"/>
    <mergeCell ref="D35:G35"/>
    <mergeCell ref="D78:F78"/>
    <mergeCell ref="D79:G79"/>
    <mergeCell ref="D127:F127"/>
  </mergeCells>
  <pageMargins left="0.59055118110236227" right="0.23622047244094491" top="0.74803149606299213" bottom="0.74803149606299213" header="0.31496062992125984" footer="0.31496062992125984"/>
  <pageSetup paperSize="5" scale="55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9"/>
  </sheetPr>
  <dimension ref="A1:Y232"/>
  <sheetViews>
    <sheetView tabSelected="1" topLeftCell="B1" zoomScale="93" zoomScaleNormal="93" workbookViewId="0">
      <pane ySplit="6" topLeftCell="A124" activePane="bottomLeft" state="frozen"/>
      <selection activeCell="K22" sqref="K22:K57"/>
      <selection pane="bottomLeft" activeCell="I6" sqref="I6"/>
    </sheetView>
  </sheetViews>
  <sheetFormatPr baseColWidth="10" defaultColWidth="11.42578125" defaultRowHeight="15" x14ac:dyDescent="0.25"/>
  <cols>
    <col min="1" max="1" width="8" style="24" customWidth="1"/>
    <col min="2" max="2" width="16.7109375" customWidth="1"/>
    <col min="3" max="3" width="5.85546875" style="166" customWidth="1"/>
    <col min="4" max="4" width="40.140625" customWidth="1"/>
    <col min="5" max="5" width="43" customWidth="1"/>
    <col min="6" max="6" width="14.7109375" customWidth="1"/>
    <col min="7" max="7" width="15.7109375" customWidth="1"/>
    <col min="8" max="8" width="13" style="4" customWidth="1"/>
    <col min="9" max="9" width="10.140625" style="18" customWidth="1"/>
    <col min="10" max="10" width="13.7109375" style="4" customWidth="1"/>
    <col min="11" max="11" width="15.42578125" style="4" customWidth="1"/>
    <col min="12" max="12" width="16.5703125" customWidth="1"/>
    <col min="13" max="13" width="38.85546875" customWidth="1"/>
    <col min="14" max="14" width="30.42578125" customWidth="1"/>
    <col min="15" max="15" width="20.85546875" customWidth="1"/>
    <col min="16" max="16" width="24.140625" customWidth="1"/>
    <col min="17" max="19" width="11.42578125" customWidth="1"/>
    <col min="20" max="20" width="10.28515625" customWidth="1"/>
    <col min="21" max="24" width="11.42578125" customWidth="1"/>
  </cols>
  <sheetData>
    <row r="1" spans="1:25" x14ac:dyDescent="0.25">
      <c r="B1" s="6"/>
      <c r="D1" s="6"/>
      <c r="E1" s="6"/>
      <c r="F1" s="6"/>
      <c r="G1" s="6"/>
      <c r="H1" s="7"/>
      <c r="I1" s="148"/>
      <c r="J1" s="7"/>
      <c r="K1" s="7"/>
      <c r="L1" s="6"/>
      <c r="M1" s="6"/>
      <c r="N1" s="6"/>
      <c r="O1" s="6"/>
    </row>
    <row r="2" spans="1:25" ht="24.75" customHeight="1" x14ac:dyDescent="0.3">
      <c r="B2" s="6"/>
      <c r="D2" s="110" t="s">
        <v>0</v>
      </c>
      <c r="E2" s="111"/>
      <c r="Y2" s="16"/>
    </row>
    <row r="3" spans="1:25" ht="23.25" customHeight="1" x14ac:dyDescent="0.3">
      <c r="B3" s="6"/>
      <c r="D3" s="159" t="s">
        <v>518</v>
      </c>
      <c r="E3" s="159"/>
    </row>
    <row r="4" spans="1:25" ht="21" x14ac:dyDescent="0.35">
      <c r="B4" s="6"/>
      <c r="D4" s="45" t="s">
        <v>13</v>
      </c>
      <c r="E4" s="112"/>
      <c r="L4" s="173"/>
    </row>
    <row r="5" spans="1:25" ht="21" x14ac:dyDescent="0.35">
      <c r="B5" s="6"/>
      <c r="D5" s="47" t="s">
        <v>20</v>
      </c>
      <c r="E5" s="112"/>
    </row>
    <row r="6" spans="1:25" ht="42" customHeight="1" x14ac:dyDescent="0.25">
      <c r="B6" s="6"/>
      <c r="E6" s="1" t="s">
        <v>1</v>
      </c>
      <c r="F6" s="1" t="s">
        <v>3</v>
      </c>
      <c r="G6" s="1" t="s">
        <v>5</v>
      </c>
      <c r="H6" s="68" t="s">
        <v>30</v>
      </c>
      <c r="I6" s="68" t="s">
        <v>117</v>
      </c>
      <c r="J6" s="68" t="s">
        <v>11</v>
      </c>
      <c r="K6" s="68" t="s">
        <v>117</v>
      </c>
      <c r="L6" s="1" t="s">
        <v>12</v>
      </c>
    </row>
    <row r="7" spans="1:25" x14ac:dyDescent="0.25">
      <c r="B7" s="6"/>
      <c r="D7" s="13" t="s">
        <v>126</v>
      </c>
      <c r="E7" s="2"/>
      <c r="F7" s="2"/>
      <c r="G7" s="2"/>
      <c r="H7" s="69"/>
      <c r="I7" s="69"/>
      <c r="J7" s="69"/>
      <c r="K7" s="69"/>
      <c r="L7" s="2"/>
    </row>
    <row r="8" spans="1:25" ht="36" customHeight="1" x14ac:dyDescent="0.25">
      <c r="A8" s="13" t="s">
        <v>195</v>
      </c>
      <c r="B8" s="6" t="s">
        <v>20</v>
      </c>
      <c r="C8" s="166">
        <v>1</v>
      </c>
      <c r="D8" t="s">
        <v>21</v>
      </c>
      <c r="E8" t="s">
        <v>151</v>
      </c>
      <c r="F8" s="70">
        <v>26866.62</v>
      </c>
      <c r="G8" s="4">
        <f>(F8-(LOOKUP(F8,ISR!$A$6:$B$17,ISR!$A$6:$A$17)))*(LOOKUP(F8,ISR!$A$6:$B$17,ISR!$D$6:$D$17))+(LOOKUP(F8,ISR!$A$6:$B$17,ISR!$C$6:$C$17))</f>
        <v>5329.9380000000001</v>
      </c>
      <c r="H8" s="4">
        <v>0</v>
      </c>
      <c r="I8" s="18">
        <v>0</v>
      </c>
      <c r="J8" s="4">
        <v>0</v>
      </c>
      <c r="K8" s="4">
        <v>0</v>
      </c>
      <c r="L8" s="71">
        <f>F8-G8-I8-J8-K8+H8</f>
        <v>21536.682000000001</v>
      </c>
      <c r="M8" s="234"/>
      <c r="N8" s="234"/>
      <c r="O8" s="234"/>
    </row>
    <row r="9" spans="1:25" ht="49.5" customHeight="1" x14ac:dyDescent="0.25">
      <c r="B9" s="6" t="s">
        <v>22</v>
      </c>
      <c r="C9" s="166">
        <v>2</v>
      </c>
      <c r="D9" t="s">
        <v>136</v>
      </c>
      <c r="E9" t="s">
        <v>198</v>
      </c>
      <c r="F9" s="70">
        <v>8262</v>
      </c>
      <c r="G9" s="4">
        <f>(F9-(LOOKUP(F9,ISR!$A$6:$B$17,ISR!$A$6:$A$17)))*(LOOKUP(F9,ISR!$A$6:$B$17,ISR!$D$6:$D$17))+(LOOKUP(F9,ISR!$A$6:$B$17,ISR!$C$6:$C$17))</f>
        <v>941.70122400000002</v>
      </c>
      <c r="H9" s="4">
        <v>0</v>
      </c>
      <c r="J9" s="4">
        <v>0</v>
      </c>
      <c r="K9" s="4">
        <v>0</v>
      </c>
      <c r="L9" s="71">
        <f>F9-G9-I9-J9-K9+H9</f>
        <v>7320.2987759999996</v>
      </c>
      <c r="M9" s="234"/>
      <c r="N9" s="234"/>
      <c r="O9" s="234"/>
      <c r="P9" t="s">
        <v>342</v>
      </c>
      <c r="Q9" s="12" t="s">
        <v>341</v>
      </c>
      <c r="T9" t="s">
        <v>467</v>
      </c>
    </row>
    <row r="10" spans="1:25" ht="49.5" customHeight="1" x14ac:dyDescent="0.25">
      <c r="B10" s="6" t="s">
        <v>22</v>
      </c>
      <c r="C10" s="166">
        <v>3</v>
      </c>
      <c r="D10" t="s">
        <v>150</v>
      </c>
      <c r="E10" t="s">
        <v>159</v>
      </c>
      <c r="F10" s="35">
        <v>5712.66</v>
      </c>
      <c r="G10" s="15">
        <f>(F10-(LOOKUP(F10,ISR!$A$6:$B$17,ISR!$A$6:$A$17)))*(LOOKUP(F10,ISR!$A$6:$B$17,ISR!$D$6:$D$17))+(LOOKUP(F10,ISR!$A$6:$B$17,ISR!$C$6:$C$17))</f>
        <v>476.50399999999996</v>
      </c>
      <c r="H10" s="15">
        <v>0</v>
      </c>
      <c r="I10" s="35">
        <v>0</v>
      </c>
      <c r="J10" s="15">
        <v>0</v>
      </c>
      <c r="K10" s="15">
        <v>0</v>
      </c>
      <c r="L10" s="73">
        <f>F10-G10-I10-J10-K10+H10</f>
        <v>5236.1559999999999</v>
      </c>
      <c r="M10" s="237"/>
      <c r="N10" s="237"/>
      <c r="O10" s="237"/>
    </row>
    <row r="11" spans="1:25" ht="30" customHeight="1" x14ac:dyDescent="0.25">
      <c r="B11" s="6"/>
      <c r="E11" s="2"/>
      <c r="F11" s="72">
        <f>SUM(F8:F10)</f>
        <v>40841.279999999999</v>
      </c>
      <c r="G11" s="72">
        <f>SUM(G8:G10)</f>
        <v>6748.1432240000004</v>
      </c>
      <c r="H11" s="11">
        <f>SUM(H8:H10)</f>
        <v>0</v>
      </c>
      <c r="I11" s="18">
        <f>SUM(I8:I10)</f>
        <v>0</v>
      </c>
      <c r="J11" s="4">
        <v>0</v>
      </c>
      <c r="K11" s="4">
        <v>0</v>
      </c>
      <c r="L11" s="72">
        <f>SUM(L8:L10)</f>
        <v>34093.136775999999</v>
      </c>
      <c r="M11" s="248"/>
      <c r="N11" s="246"/>
      <c r="O11" s="246"/>
    </row>
    <row r="12" spans="1:25" ht="19.5" customHeight="1" x14ac:dyDescent="0.25">
      <c r="B12" s="6"/>
      <c r="D12" s="13" t="s">
        <v>127</v>
      </c>
      <c r="E12" s="2"/>
      <c r="F12" s="2"/>
      <c r="G12" s="2"/>
      <c r="H12" s="69"/>
      <c r="I12" s="69"/>
      <c r="J12" s="69"/>
      <c r="K12" s="69"/>
      <c r="L12" s="71"/>
      <c r="M12" s="24"/>
      <c r="N12" s="24"/>
      <c r="O12" s="24"/>
    </row>
    <row r="13" spans="1:25" ht="30" customHeight="1" x14ac:dyDescent="0.25">
      <c r="B13" s="6" t="s">
        <v>20</v>
      </c>
      <c r="C13" s="166">
        <v>4</v>
      </c>
      <c r="D13" t="s">
        <v>23</v>
      </c>
      <c r="E13" t="s">
        <v>174</v>
      </c>
      <c r="F13" s="18">
        <v>12778.02</v>
      </c>
      <c r="G13" s="4">
        <f>(F13-(LOOKUP(F13,ISR!$A$6:$B$17,ISR!$A$6:$A$17)))*(LOOKUP(F13,ISR!$A$6:$B$17,ISR!$D$6:$D$17))+(LOOKUP(F13,ISR!$A$6:$B$17,ISR!$C$6:$C$17))</f>
        <v>1906.3230960000001</v>
      </c>
      <c r="H13" s="4">
        <v>0</v>
      </c>
      <c r="I13" s="18">
        <v>0</v>
      </c>
      <c r="J13" s="4">
        <v>0</v>
      </c>
      <c r="K13" s="4">
        <v>0</v>
      </c>
      <c r="L13" s="71">
        <f t="shared" ref="L13:L22" si="0">F13-G13-I13-J13-K13+H13</f>
        <v>10871.696904</v>
      </c>
      <c r="M13" s="234"/>
      <c r="N13" s="234"/>
      <c r="O13" s="234"/>
    </row>
    <row r="14" spans="1:25" ht="48.75" customHeight="1" x14ac:dyDescent="0.25">
      <c r="B14" s="6" t="s">
        <v>20</v>
      </c>
      <c r="C14" s="166">
        <v>5</v>
      </c>
      <c r="D14" t="s">
        <v>23</v>
      </c>
      <c r="E14" t="s">
        <v>404</v>
      </c>
      <c r="F14" s="18">
        <v>12778.02</v>
      </c>
      <c r="G14" s="4">
        <f>(F14-(LOOKUP(F14,ISR!$A$6:$B$17,ISR!$A$6:$A$17)))*(LOOKUP(F14,ISR!$A$6:$B$17,ISR!$D$6:$D$17))+(LOOKUP(F14,ISR!$A$6:$B$17,ISR!$C$6:$C$17))</f>
        <v>1906.3230960000001</v>
      </c>
      <c r="H14" s="4">
        <v>0</v>
      </c>
      <c r="I14" s="18">
        <v>0</v>
      </c>
      <c r="J14" s="4">
        <v>0</v>
      </c>
      <c r="K14" s="4">
        <v>0</v>
      </c>
      <c r="L14" s="71">
        <f t="shared" si="0"/>
        <v>10871.696904</v>
      </c>
      <c r="M14" s="237"/>
      <c r="N14" s="237"/>
      <c r="O14" s="237"/>
    </row>
    <row r="15" spans="1:25" ht="48.75" hidden="1" customHeight="1" x14ac:dyDescent="0.25">
      <c r="B15" s="6"/>
      <c r="F15" s="18">
        <v>0</v>
      </c>
      <c r="G15" s="4"/>
      <c r="L15" s="71"/>
      <c r="M15" s="151"/>
      <c r="N15" s="151"/>
      <c r="O15" s="151"/>
    </row>
    <row r="16" spans="1:25" ht="56.25" customHeight="1" x14ac:dyDescent="0.25">
      <c r="B16" s="6" t="s">
        <v>20</v>
      </c>
      <c r="C16" s="166">
        <v>6</v>
      </c>
      <c r="D16" t="s">
        <v>23</v>
      </c>
      <c r="E16" t="s">
        <v>200</v>
      </c>
      <c r="F16" s="18">
        <v>12778.02</v>
      </c>
      <c r="G16" s="4">
        <f>(F16-(LOOKUP(F16,ISR!$A$6:$B$17,ISR!$A$6:$A$17)))*(LOOKUP(F16,ISR!$A$6:$B$17,ISR!$D$6:$D$17))+(LOOKUP(F16,ISR!$A$6:$B$17,ISR!$C$6:$C$17))</f>
        <v>1906.3230960000001</v>
      </c>
      <c r="H16" s="4">
        <v>0</v>
      </c>
      <c r="I16" s="18">
        <v>0</v>
      </c>
      <c r="J16" s="4">
        <v>0</v>
      </c>
      <c r="K16" s="4">
        <v>0</v>
      </c>
      <c r="L16" s="71">
        <f t="shared" si="0"/>
        <v>10871.696904</v>
      </c>
      <c r="M16" s="237"/>
      <c r="N16" s="237"/>
      <c r="O16" s="237"/>
    </row>
    <row r="17" spans="1:15" ht="54" customHeight="1" x14ac:dyDescent="0.25">
      <c r="B17" s="6" t="s">
        <v>20</v>
      </c>
      <c r="C17" s="166">
        <v>7</v>
      </c>
      <c r="D17" t="s">
        <v>23</v>
      </c>
      <c r="E17" t="s">
        <v>201</v>
      </c>
      <c r="F17" s="18">
        <v>12778.02</v>
      </c>
      <c r="G17" s="4">
        <f>(F17-(LOOKUP(F17,ISR!$A$6:$B$17,ISR!$A$6:$A$17)))*(LOOKUP(F17,ISR!$A$6:$B$17,ISR!$D$6:$D$17))+(LOOKUP(F17,ISR!$A$6:$B$17,ISR!$C$6:$C$17))</f>
        <v>1906.3230960000001</v>
      </c>
      <c r="H17" s="4">
        <v>0</v>
      </c>
      <c r="I17" s="18">
        <v>0</v>
      </c>
      <c r="J17" s="4">
        <v>0</v>
      </c>
      <c r="K17" s="4">
        <v>0</v>
      </c>
      <c r="L17" s="71">
        <f t="shared" si="0"/>
        <v>10871.696904</v>
      </c>
      <c r="M17" s="237"/>
      <c r="N17" s="237"/>
      <c r="O17" s="237"/>
    </row>
    <row r="18" spans="1:15" ht="56.25" customHeight="1" x14ac:dyDescent="0.25">
      <c r="A18" s="13" t="s">
        <v>162</v>
      </c>
      <c r="B18" s="6" t="s">
        <v>20</v>
      </c>
      <c r="C18" s="166">
        <v>8</v>
      </c>
      <c r="D18" t="s">
        <v>23</v>
      </c>
      <c r="E18" t="s">
        <v>273</v>
      </c>
      <c r="F18" s="18">
        <v>12778.02</v>
      </c>
      <c r="G18" s="4">
        <f>(F18-(LOOKUP(F18,ISR!$A$6:$B$17,ISR!$A$6:$A$17)))*(LOOKUP(F18,ISR!$A$6:$B$17,ISR!$D$6:$D$17))+(LOOKUP(F18,ISR!$A$6:$B$17,ISR!$C$6:$C$17))</f>
        <v>1906.3230960000001</v>
      </c>
      <c r="H18" s="4">
        <v>0</v>
      </c>
      <c r="I18" s="18">
        <v>0</v>
      </c>
      <c r="J18" s="4">
        <v>0</v>
      </c>
      <c r="K18" s="4">
        <v>0</v>
      </c>
      <c r="L18" s="71">
        <f t="shared" si="0"/>
        <v>10871.696904</v>
      </c>
      <c r="M18" s="237"/>
      <c r="N18" s="237"/>
      <c r="O18" s="237"/>
    </row>
    <row r="19" spans="1:15" ht="54" customHeight="1" x14ac:dyDescent="0.25">
      <c r="B19" s="6" t="s">
        <v>20</v>
      </c>
      <c r="C19" s="166">
        <v>9</v>
      </c>
      <c r="D19" t="s">
        <v>23</v>
      </c>
      <c r="E19" t="s">
        <v>202</v>
      </c>
      <c r="F19" s="18">
        <v>12778.02</v>
      </c>
      <c r="G19" s="4">
        <f>(F19-(LOOKUP(F19,ISR!$A$6:$B$17,ISR!$A$6:$A$17)))*(LOOKUP(F19,ISR!$A$6:$B$17,ISR!$D$6:$D$17))+(LOOKUP(F19,ISR!$A$6:$B$17,ISR!$C$6:$C$17))</f>
        <v>1906.3230960000001</v>
      </c>
      <c r="H19" s="4">
        <v>0</v>
      </c>
      <c r="I19" s="18">
        <v>0</v>
      </c>
      <c r="J19" s="4">
        <v>0</v>
      </c>
      <c r="K19" s="4">
        <v>0</v>
      </c>
      <c r="L19" s="71">
        <f t="shared" si="0"/>
        <v>10871.696904</v>
      </c>
      <c r="M19" s="237"/>
      <c r="N19" s="237"/>
      <c r="O19" s="237"/>
    </row>
    <row r="20" spans="1:15" ht="60" customHeight="1" x14ac:dyDescent="0.25">
      <c r="B20" s="6" t="s">
        <v>20</v>
      </c>
      <c r="C20" s="166">
        <v>10</v>
      </c>
      <c r="D20" t="s">
        <v>23</v>
      </c>
      <c r="E20" t="s">
        <v>203</v>
      </c>
      <c r="F20" s="18">
        <v>12778.02</v>
      </c>
      <c r="G20" s="4">
        <f>(F20-(LOOKUP(F20,ISR!$A$6:$B$17,ISR!$A$6:$A$17)))*(LOOKUP(F20,ISR!$A$6:$B$17,ISR!$D$6:$D$17))+(LOOKUP(F20,ISR!$A$6:$B$17,ISR!$C$6:$C$17))</f>
        <v>1906.3230960000001</v>
      </c>
      <c r="H20" s="4">
        <v>0</v>
      </c>
      <c r="I20" s="18">
        <v>0</v>
      </c>
      <c r="J20" s="4">
        <v>0</v>
      </c>
      <c r="K20" s="4">
        <v>0</v>
      </c>
      <c r="L20" s="71">
        <f t="shared" si="0"/>
        <v>10871.696904</v>
      </c>
      <c r="M20" s="237"/>
      <c r="N20" s="237"/>
      <c r="O20" s="237"/>
    </row>
    <row r="21" spans="1:15" ht="54" customHeight="1" x14ac:dyDescent="0.25">
      <c r="A21" s="13" t="s">
        <v>162</v>
      </c>
      <c r="B21" s="6" t="s">
        <v>20</v>
      </c>
      <c r="C21" s="166">
        <v>11</v>
      </c>
      <c r="D21" t="s">
        <v>23</v>
      </c>
      <c r="E21" t="s">
        <v>308</v>
      </c>
      <c r="F21" s="18">
        <v>12778.02</v>
      </c>
      <c r="G21" s="4">
        <f>(F21-(LOOKUP(F21,ISR!$A$6:$B$17,ISR!$A$6:$A$17)))*(LOOKUP(F21,ISR!$A$6:$B$17,ISR!$D$6:$D$17))+(LOOKUP(F21,ISR!$A$6:$B$17,ISR!$C$6:$C$17))</f>
        <v>1906.3230960000001</v>
      </c>
      <c r="H21" s="4">
        <v>0</v>
      </c>
      <c r="I21" s="18">
        <v>0</v>
      </c>
      <c r="J21" s="4">
        <v>0</v>
      </c>
      <c r="K21" s="4">
        <v>0</v>
      </c>
      <c r="L21" s="71">
        <f t="shared" si="0"/>
        <v>10871.696904</v>
      </c>
      <c r="M21" s="237"/>
      <c r="N21" s="237"/>
      <c r="O21" s="237"/>
    </row>
    <row r="22" spans="1:15" ht="48" customHeight="1" x14ac:dyDescent="0.25">
      <c r="B22" s="6" t="s">
        <v>20</v>
      </c>
      <c r="C22" s="166">
        <v>12</v>
      </c>
      <c r="D22" t="s">
        <v>23</v>
      </c>
      <c r="E22" t="s">
        <v>204</v>
      </c>
      <c r="F22" s="35">
        <v>12778.02</v>
      </c>
      <c r="G22" s="35">
        <f>(F22-(LOOKUP(F22,ISR!$A$6:$B$17,ISR!$A$6:$A$17)))*(LOOKUP(F22,ISR!$A$6:$B$17,ISR!$D$6:$D$17))+(LOOKUP(F22,ISR!$A$6:$B$17,ISR!$C$6:$C$17))</f>
        <v>1906.3230960000001</v>
      </c>
      <c r="H22" s="15">
        <v>0</v>
      </c>
      <c r="I22" s="35">
        <v>0</v>
      </c>
      <c r="J22" s="15">
        <v>0</v>
      </c>
      <c r="K22" s="15">
        <v>0</v>
      </c>
      <c r="L22" s="35">
        <f t="shared" si="0"/>
        <v>10871.696904</v>
      </c>
      <c r="M22" s="237"/>
      <c r="N22" s="237"/>
      <c r="O22" s="237"/>
    </row>
    <row r="23" spans="1:15" ht="30" customHeight="1" x14ac:dyDescent="0.25">
      <c r="B23" s="6"/>
      <c r="F23" s="11">
        <f t="shared" ref="F23:K23" si="1">SUM(F13:F22)</f>
        <v>115002.18000000002</v>
      </c>
      <c r="G23" s="11">
        <f t="shared" si="1"/>
        <v>17156.907864000001</v>
      </c>
      <c r="H23" s="11">
        <f t="shared" si="1"/>
        <v>0</v>
      </c>
      <c r="I23" s="36">
        <f t="shared" si="1"/>
        <v>0</v>
      </c>
      <c r="J23" s="11">
        <f t="shared" si="1"/>
        <v>0</v>
      </c>
      <c r="K23" s="11">
        <f t="shared" si="1"/>
        <v>0</v>
      </c>
      <c r="L23" s="11">
        <f>SUM(L13:L22)</f>
        <v>97845.272135999985</v>
      </c>
      <c r="M23" s="249"/>
      <c r="N23" s="246"/>
      <c r="O23" s="246"/>
    </row>
    <row r="24" spans="1:15" ht="30" customHeight="1" x14ac:dyDescent="0.3">
      <c r="B24" s="6"/>
      <c r="D24" s="110" t="s">
        <v>0</v>
      </c>
      <c r="E24" s="111"/>
      <c r="F24" s="36"/>
      <c r="G24" s="11"/>
      <c r="H24" s="11"/>
      <c r="I24" s="36"/>
      <c r="J24" s="11"/>
      <c r="K24" s="11"/>
      <c r="L24" s="11"/>
      <c r="M24" s="24"/>
      <c r="N24" s="24"/>
      <c r="O24" s="24"/>
    </row>
    <row r="25" spans="1:15" ht="30" customHeight="1" x14ac:dyDescent="0.3">
      <c r="B25" s="6"/>
      <c r="D25" s="159" t="s">
        <v>518</v>
      </c>
      <c r="E25" s="159"/>
      <c r="F25" s="36"/>
      <c r="G25" s="11"/>
      <c r="H25" s="11"/>
      <c r="I25" s="36"/>
      <c r="J25" s="11"/>
      <c r="K25" s="250" t="s">
        <v>505</v>
      </c>
      <c r="L25" s="250"/>
      <c r="M25" s="24"/>
      <c r="N25" s="24"/>
      <c r="O25" s="24"/>
    </row>
    <row r="26" spans="1:15" ht="30" customHeight="1" x14ac:dyDescent="0.25">
      <c r="B26" s="6"/>
      <c r="E26" s="1" t="s">
        <v>1</v>
      </c>
      <c r="F26" s="1" t="s">
        <v>3</v>
      </c>
      <c r="G26" s="1" t="s">
        <v>5</v>
      </c>
      <c r="H26" s="68" t="s">
        <v>30</v>
      </c>
      <c r="I26" s="68" t="s">
        <v>117</v>
      </c>
      <c r="J26" s="68" t="s">
        <v>11</v>
      </c>
      <c r="K26" s="68" t="s">
        <v>117</v>
      </c>
      <c r="L26" s="1" t="s">
        <v>12</v>
      </c>
      <c r="M26" s="24"/>
      <c r="N26" s="24"/>
      <c r="O26" s="24"/>
    </row>
    <row r="27" spans="1:15" ht="18" customHeight="1" x14ac:dyDescent="0.25">
      <c r="B27" s="6"/>
      <c r="D27" s="13" t="s">
        <v>124</v>
      </c>
      <c r="F27" s="18"/>
      <c r="G27" s="4"/>
      <c r="L27" s="71"/>
      <c r="M27" s="232"/>
      <c r="N27" s="232"/>
      <c r="O27" s="232"/>
    </row>
    <row r="28" spans="1:15" ht="37.5" customHeight="1" x14ac:dyDescent="0.25">
      <c r="B28" s="6" t="s">
        <v>20</v>
      </c>
      <c r="C28" s="166">
        <v>13</v>
      </c>
      <c r="D28" t="s">
        <v>179</v>
      </c>
      <c r="E28" t="s">
        <v>205</v>
      </c>
      <c r="F28" s="18">
        <v>18740.7</v>
      </c>
      <c r="G28" s="4">
        <f>(F28-(LOOKUP(F28,ISR!$A$6:$B$17,ISR!$A$6:$A$17)))*(LOOKUP(F28,ISR!$A$6:$B$17,ISR!$D$6:$D$17))+(LOOKUP(F28,ISR!$A$6:$B$17,ISR!$C$6:$C$17))</f>
        <v>3251.8697280000006</v>
      </c>
      <c r="H28" s="4">
        <v>0</v>
      </c>
      <c r="I28" s="18">
        <v>0</v>
      </c>
      <c r="J28" s="4">
        <v>0</v>
      </c>
      <c r="K28" s="4">
        <v>0</v>
      </c>
      <c r="L28" s="71">
        <f>F28-G28-I28-J28-K28+H28</f>
        <v>15488.830271999999</v>
      </c>
      <c r="M28" s="234"/>
      <c r="N28" s="234"/>
      <c r="O28" s="234"/>
    </row>
    <row r="29" spans="1:15" ht="37.5" customHeight="1" x14ac:dyDescent="0.25">
      <c r="B29" s="6" t="s">
        <v>22</v>
      </c>
      <c r="C29" s="166">
        <v>14</v>
      </c>
      <c r="D29" t="s">
        <v>466</v>
      </c>
      <c r="E29" t="s">
        <v>465</v>
      </c>
      <c r="F29" s="18">
        <v>3777.84</v>
      </c>
      <c r="G29" s="4">
        <f>(F29-(LOOKUP(F29,ISR!$A$6:$B$17,ISR!$A$6:$A$17)))*(LOOKUP(F29,ISR!$A$6:$B$17,ISR!$D$6:$D$17))+(LOOKUP(F29,ISR!$A$6:$B$17,ISR!$C$6:$C$17))</f>
        <v>254.54862399999999</v>
      </c>
      <c r="H29" s="4">
        <v>0</v>
      </c>
      <c r="I29" s="18">
        <v>0</v>
      </c>
      <c r="K29" s="4">
        <v>0</v>
      </c>
      <c r="L29" s="71">
        <f>F29-G29+H29-I29-J29-K29</f>
        <v>3523.2913760000001</v>
      </c>
      <c r="M29" s="74"/>
      <c r="N29" s="74"/>
      <c r="O29" s="74"/>
    </row>
    <row r="30" spans="1:15" ht="48" customHeight="1" x14ac:dyDescent="0.25">
      <c r="A30" s="13">
        <v>3141</v>
      </c>
      <c r="B30" s="6" t="s">
        <v>20</v>
      </c>
      <c r="C30" s="166">
        <v>15</v>
      </c>
      <c r="D30" t="s">
        <v>178</v>
      </c>
      <c r="E30" t="s">
        <v>177</v>
      </c>
      <c r="F30" s="18">
        <v>16653.060000000001</v>
      </c>
      <c r="G30" s="4">
        <f>(F30-(LOOKUP(F30,ISR!$A$6:$B$17,ISR!$A$6:$A$17)))*(LOOKUP(F30,ISR!$A$6:$B$17,ISR!$D$6:$D$17))+(LOOKUP(F30,ISR!$A$6:$B$17,ISR!$C$6:$C$17))</f>
        <v>2760.8568000000005</v>
      </c>
      <c r="H30" s="4">
        <v>0</v>
      </c>
      <c r="K30" s="4">
        <v>0</v>
      </c>
      <c r="L30" s="71">
        <f>F30-G30-I30-J30-K30+H30</f>
        <v>13892.2032</v>
      </c>
      <c r="M30" s="237"/>
      <c r="N30" s="237"/>
      <c r="O30" s="237"/>
    </row>
    <row r="31" spans="1:15" ht="54.75" customHeight="1" x14ac:dyDescent="0.25">
      <c r="A31" s="13">
        <v>1036</v>
      </c>
      <c r="B31" s="6" t="s">
        <v>22</v>
      </c>
      <c r="C31" s="166">
        <v>16</v>
      </c>
      <c r="D31" t="s">
        <v>24</v>
      </c>
      <c r="E31" t="s">
        <v>152</v>
      </c>
      <c r="F31" s="35">
        <v>7654.5</v>
      </c>
      <c r="G31" s="15">
        <f>(F31-(LOOKUP(F31,ISR!$A$6:$B$17,ISR!$A$6:$A$17)))*(LOOKUP(F31,ISR!$A$6:$B$17,ISR!$D$6:$D$17))+(LOOKUP(F31,ISR!$A$6:$B$17,ISR!$C$6:$C$17))</f>
        <v>811.93922400000008</v>
      </c>
      <c r="H31" s="15"/>
      <c r="I31" s="35">
        <v>0</v>
      </c>
      <c r="J31" s="15">
        <v>0</v>
      </c>
      <c r="K31" s="15">
        <v>0</v>
      </c>
      <c r="L31" s="35">
        <f>F31-G31-I31-J31-K31+H31</f>
        <v>6842.5607760000003</v>
      </c>
      <c r="M31" s="237"/>
      <c r="N31" s="237"/>
      <c r="O31" s="237"/>
    </row>
    <row r="32" spans="1:15" ht="30" customHeight="1" x14ac:dyDescent="0.25">
      <c r="B32" s="6"/>
      <c r="F32" s="36">
        <f t="shared" ref="F32:K32" si="2">SUM(F28:F31)</f>
        <v>46826.100000000006</v>
      </c>
      <c r="G32" s="11">
        <f t="shared" si="2"/>
        <v>7079.2143760000008</v>
      </c>
      <c r="H32" s="11">
        <f t="shared" si="2"/>
        <v>0</v>
      </c>
      <c r="I32" s="36">
        <f t="shared" si="2"/>
        <v>0</v>
      </c>
      <c r="J32" s="11">
        <f t="shared" si="2"/>
        <v>0</v>
      </c>
      <c r="K32" s="11">
        <f t="shared" si="2"/>
        <v>0</v>
      </c>
      <c r="L32" s="36">
        <f>SUM(L28:L31)</f>
        <v>39746.885624000002</v>
      </c>
      <c r="M32" s="249"/>
      <c r="N32" s="246"/>
      <c r="O32" s="246"/>
    </row>
    <row r="33" spans="1:16" ht="15" customHeight="1" x14ac:dyDescent="0.25">
      <c r="B33" s="6"/>
      <c r="D33" s="13" t="s">
        <v>295</v>
      </c>
      <c r="F33" s="18"/>
      <c r="G33" s="4"/>
      <c r="L33" s="18"/>
      <c r="M33" s="232"/>
      <c r="N33" s="232"/>
      <c r="O33" s="232"/>
    </row>
    <row r="34" spans="1:16" ht="31.5" customHeight="1" x14ac:dyDescent="0.25">
      <c r="A34" s="13"/>
      <c r="B34" s="6" t="s">
        <v>22</v>
      </c>
      <c r="C34" s="166">
        <v>17</v>
      </c>
      <c r="D34" t="s">
        <v>492</v>
      </c>
      <c r="E34" t="s">
        <v>493</v>
      </c>
      <c r="F34" s="35">
        <v>9283.14</v>
      </c>
      <c r="G34" s="35">
        <f>(F34-(LOOKUP(F34,ISR!$A$6:$B$17,ISR!$A$6:$A$17)))*(LOOKUP(F34,ISR!$A$6:$B$17,ISR!$D$6:$D$17))+(LOOKUP(F34,ISR!$A$6:$B$17,ISR!$C$6:$C$17))</f>
        <v>1159.8167279999998</v>
      </c>
      <c r="H34" s="35">
        <v>0</v>
      </c>
      <c r="I34" s="35">
        <v>0</v>
      </c>
      <c r="J34" s="35">
        <v>0</v>
      </c>
      <c r="K34" s="35">
        <v>0</v>
      </c>
      <c r="L34" s="35">
        <f>F34-G34-I34-J34-K34+H34</f>
        <v>8123.3232719999996</v>
      </c>
      <c r="M34" s="234"/>
      <c r="N34" s="234"/>
      <c r="O34" s="234"/>
    </row>
    <row r="35" spans="1:16" ht="22.5" customHeight="1" x14ac:dyDescent="0.25">
      <c r="B35" s="6"/>
      <c r="D35" s="13"/>
      <c r="F35" s="36">
        <f t="shared" ref="F35:K35" si="3">SUM(F34)</f>
        <v>9283.14</v>
      </c>
      <c r="G35" s="11">
        <f t="shared" si="3"/>
        <v>1159.8167279999998</v>
      </c>
      <c r="H35" s="11">
        <f t="shared" si="3"/>
        <v>0</v>
      </c>
      <c r="I35" s="36">
        <f t="shared" si="3"/>
        <v>0</v>
      </c>
      <c r="J35" s="11">
        <f t="shared" si="3"/>
        <v>0</v>
      </c>
      <c r="K35" s="11">
        <f t="shared" si="3"/>
        <v>0</v>
      </c>
      <c r="L35" s="36">
        <f>SUM(L34)</f>
        <v>8123.3232719999996</v>
      </c>
      <c r="M35" s="232"/>
      <c r="N35" s="232"/>
      <c r="O35" s="232"/>
    </row>
    <row r="36" spans="1:16" ht="30" customHeight="1" x14ac:dyDescent="0.25">
      <c r="B36" s="6"/>
      <c r="D36" s="13" t="s">
        <v>129</v>
      </c>
      <c r="F36" s="18"/>
      <c r="G36" s="4"/>
      <c r="L36" s="18"/>
      <c r="M36" s="232"/>
      <c r="N36" s="232"/>
      <c r="O36" s="232"/>
    </row>
    <row r="37" spans="1:16" ht="30" customHeight="1" x14ac:dyDescent="0.25">
      <c r="B37" s="6" t="s">
        <v>22</v>
      </c>
      <c r="C37" s="166">
        <v>18</v>
      </c>
      <c r="D37" t="s">
        <v>18</v>
      </c>
      <c r="E37" t="s">
        <v>234</v>
      </c>
      <c r="F37" s="18">
        <v>18442.62</v>
      </c>
      <c r="G37" s="4">
        <f>(F37-(LOOKUP(F37,ISR!$A$6:$B$17,ISR!$A$6:$A$17)))*(LOOKUP(F37,ISR!$A$6:$B$17,ISR!$D$6:$D$17))+(LOOKUP(F37,ISR!$A$6:$B$17,ISR!$C$6:$C$17))</f>
        <v>3181.7613120000001</v>
      </c>
      <c r="H37" s="4">
        <v>0</v>
      </c>
      <c r="I37" s="18">
        <v>0</v>
      </c>
      <c r="J37" s="4">
        <v>0</v>
      </c>
      <c r="K37" s="4">
        <v>0</v>
      </c>
      <c r="L37" s="71">
        <f>F37-G37-I37-J37-K37+H37</f>
        <v>15260.858687999998</v>
      </c>
      <c r="M37" s="234"/>
      <c r="N37" s="234"/>
      <c r="O37" s="234"/>
    </row>
    <row r="38" spans="1:16" ht="53.25" customHeight="1" x14ac:dyDescent="0.25">
      <c r="B38" s="6" t="s">
        <v>22</v>
      </c>
      <c r="C38" s="166">
        <v>19</v>
      </c>
      <c r="D38" t="s">
        <v>25</v>
      </c>
      <c r="E38" t="s">
        <v>207</v>
      </c>
      <c r="F38" s="35">
        <v>12777.48</v>
      </c>
      <c r="G38" s="15">
        <f>(F38-(LOOKUP(F38,ISR!$A$6:$B$17,ISR!$A$6:$A$17)))*(LOOKUP(F38,ISR!$A$6:$B$17,ISR!$D$6:$D$17))+(LOOKUP(F38,ISR!$A$6:$B$17,ISR!$C$6:$C$17))</f>
        <v>1906.207752</v>
      </c>
      <c r="H38" s="15">
        <v>0</v>
      </c>
      <c r="I38" s="35">
        <v>0</v>
      </c>
      <c r="J38" s="15">
        <v>0</v>
      </c>
      <c r="K38" s="15">
        <v>0</v>
      </c>
      <c r="L38" s="73">
        <f>F38-G38-I38-J38-K38+H38</f>
        <v>10871.272247999999</v>
      </c>
      <c r="M38" s="237"/>
      <c r="N38" s="237"/>
      <c r="O38" s="237"/>
    </row>
    <row r="39" spans="1:16" ht="30" customHeight="1" x14ac:dyDescent="0.25">
      <c r="B39" s="6"/>
      <c r="F39" s="36">
        <f t="shared" ref="F39:K39" si="4">SUM(F37:F38)</f>
        <v>31220.1</v>
      </c>
      <c r="G39" s="11">
        <f t="shared" si="4"/>
        <v>5087.9690639999999</v>
      </c>
      <c r="H39" s="11">
        <f t="shared" si="4"/>
        <v>0</v>
      </c>
      <c r="I39" s="36">
        <f t="shared" si="4"/>
        <v>0</v>
      </c>
      <c r="J39" s="11">
        <f t="shared" si="4"/>
        <v>0</v>
      </c>
      <c r="K39" s="11">
        <f t="shared" si="4"/>
        <v>0</v>
      </c>
      <c r="L39" s="36">
        <f>SUM(L37:L38)</f>
        <v>26132.130935999998</v>
      </c>
      <c r="M39" s="212"/>
      <c r="N39" s="24"/>
      <c r="O39" s="24"/>
    </row>
    <row r="40" spans="1:16" ht="30" customHeight="1" x14ac:dyDescent="0.25">
      <c r="B40" s="6"/>
      <c r="D40" s="13" t="s">
        <v>43</v>
      </c>
      <c r="F40" s="18"/>
      <c r="G40" s="4"/>
      <c r="L40" s="18"/>
    </row>
    <row r="41" spans="1:16" ht="34.5" customHeight="1" x14ac:dyDescent="0.25">
      <c r="B41" s="6" t="s">
        <v>22</v>
      </c>
      <c r="C41" s="166">
        <v>20</v>
      </c>
      <c r="D41" t="s">
        <v>26</v>
      </c>
      <c r="E41" t="s">
        <v>208</v>
      </c>
      <c r="F41" s="25">
        <v>11394</v>
      </c>
      <c r="G41" s="4">
        <f>(F41-(LOOKUP(F41,ISR!$A$6:$B$17,ISR!$A$6:$A$17)))*(LOOKUP(F41,ISR!$A$6:$B$17,ISR!$D$6:$D$17))+(LOOKUP(F41,ISR!$A$6:$B$17,ISR!$C$6:$C$17))</f>
        <v>1610.6964240000002</v>
      </c>
      <c r="H41" s="10"/>
      <c r="I41" s="25">
        <v>0</v>
      </c>
      <c r="J41" s="10">
        <v>0</v>
      </c>
      <c r="K41" s="10">
        <v>0</v>
      </c>
      <c r="L41" s="25">
        <f>F41-G41-I41-J41-K41+H41</f>
        <v>9783.3035760000002</v>
      </c>
      <c r="M41" s="234"/>
      <c r="N41" s="234"/>
      <c r="O41" s="234"/>
    </row>
    <row r="42" spans="1:16" ht="47.25" customHeight="1" x14ac:dyDescent="0.25">
      <c r="B42" s="6" t="s">
        <v>22</v>
      </c>
      <c r="C42" s="166">
        <v>21</v>
      </c>
      <c r="D42" t="s">
        <v>319</v>
      </c>
      <c r="E42" t="s">
        <v>395</v>
      </c>
      <c r="F42" s="79">
        <v>8637.84</v>
      </c>
      <c r="G42" s="15">
        <f>(F42-(LOOKUP(F42,ISR!$A$6:$B$17,ISR!$A$6:$A$17)))*(LOOKUP(F42,ISR!$A$6:$B$17,ISR!$D$6:$D$17))+(LOOKUP(F42,ISR!$A$6:$B$17,ISR!$C$6:$C$17))</f>
        <v>1021.9806480000001</v>
      </c>
      <c r="H42" s="15">
        <v>0</v>
      </c>
      <c r="I42" s="35">
        <v>0</v>
      </c>
      <c r="J42" s="15">
        <v>0</v>
      </c>
      <c r="K42" s="15">
        <v>0</v>
      </c>
      <c r="L42" s="35">
        <f>F42-G42-I42-J42-K42+H42</f>
        <v>7615.8593520000004</v>
      </c>
      <c r="M42" s="80"/>
      <c r="N42" s="80"/>
      <c r="O42" s="80"/>
    </row>
    <row r="43" spans="1:16" ht="20.25" customHeight="1" x14ac:dyDescent="0.25">
      <c r="B43" s="6"/>
      <c r="F43" s="36">
        <f t="shared" ref="F43:L43" si="5">SUM(F41:F42)</f>
        <v>20031.84</v>
      </c>
      <c r="G43" s="11">
        <f t="shared" si="5"/>
        <v>2632.6770720000004</v>
      </c>
      <c r="H43" s="11">
        <f t="shared" si="5"/>
        <v>0</v>
      </c>
      <c r="I43" s="36">
        <f t="shared" si="5"/>
        <v>0</v>
      </c>
      <c r="J43" s="11">
        <f t="shared" si="5"/>
        <v>0</v>
      </c>
      <c r="K43" s="11">
        <f t="shared" si="5"/>
        <v>0</v>
      </c>
      <c r="L43" s="36">
        <f t="shared" si="5"/>
        <v>17399.162928000002</v>
      </c>
      <c r="M43" s="249"/>
      <c r="N43" s="246"/>
      <c r="O43" s="246"/>
    </row>
    <row r="44" spans="1:16" ht="30" customHeight="1" x14ac:dyDescent="0.25">
      <c r="B44" s="6"/>
      <c r="D44" s="13" t="s">
        <v>130</v>
      </c>
      <c r="F44" s="18"/>
      <c r="G44" s="4"/>
      <c r="L44" s="18"/>
      <c r="M44" s="24"/>
      <c r="N44" s="24"/>
      <c r="O44" s="24"/>
    </row>
    <row r="45" spans="1:16" ht="30" customHeight="1" x14ac:dyDescent="0.25">
      <c r="B45" s="6" t="s">
        <v>22</v>
      </c>
      <c r="C45" s="166">
        <v>22</v>
      </c>
      <c r="D45" t="s">
        <v>14</v>
      </c>
      <c r="E45" t="s">
        <v>209</v>
      </c>
      <c r="F45" s="25">
        <v>5494.5</v>
      </c>
      <c r="G45" s="4">
        <f>(F45-(LOOKUP(F45,ISR!$A$6:$B$17,ISR!$A$6:$A$17)))*(LOOKUP(F45,ISR!$A$6:$B$17,ISR!$D$6:$D$17))+(LOOKUP(F45,ISR!$A$6:$B$17,ISR!$C$6:$C$17))</f>
        <v>441.59839999999997</v>
      </c>
      <c r="H45" s="10"/>
      <c r="I45" s="25">
        <v>0</v>
      </c>
      <c r="J45" s="10">
        <v>0</v>
      </c>
      <c r="K45" s="10">
        <v>0</v>
      </c>
      <c r="L45" s="71">
        <f>F45-G45-I45-J45-K45+H45</f>
        <v>5052.9016000000001</v>
      </c>
      <c r="M45" s="234"/>
      <c r="N45" s="234"/>
      <c r="O45" s="234"/>
    </row>
    <row r="46" spans="1:16" ht="15" customHeight="1" x14ac:dyDescent="0.25">
      <c r="B46" s="6"/>
      <c r="F46" s="38">
        <f t="shared" ref="F46:L46" si="6">SUM(F45:F45)</f>
        <v>5494.5</v>
      </c>
      <c r="G46" s="38">
        <f t="shared" si="6"/>
        <v>441.59839999999997</v>
      </c>
      <c r="H46" s="38">
        <f t="shared" si="6"/>
        <v>0</v>
      </c>
      <c r="I46" s="38">
        <f t="shared" si="6"/>
        <v>0</v>
      </c>
      <c r="J46" s="38">
        <f t="shared" si="6"/>
        <v>0</v>
      </c>
      <c r="K46" s="38">
        <f t="shared" si="6"/>
        <v>0</v>
      </c>
      <c r="L46" s="38">
        <f t="shared" si="6"/>
        <v>5052.9016000000001</v>
      </c>
      <c r="M46" s="36"/>
      <c r="N46" s="24"/>
      <c r="O46" s="24"/>
    </row>
    <row r="47" spans="1:16" ht="30" customHeight="1" x14ac:dyDescent="0.25">
      <c r="B47" s="6"/>
      <c r="D47" s="13" t="s">
        <v>170</v>
      </c>
      <c r="F47" s="25"/>
      <c r="G47" s="10"/>
      <c r="L47" s="18"/>
      <c r="M47" s="232"/>
      <c r="N47" s="232"/>
      <c r="O47" s="232"/>
      <c r="P47" s="12"/>
    </row>
    <row r="48" spans="1:16" ht="30" customHeight="1" x14ac:dyDescent="0.25">
      <c r="B48" s="6" t="s">
        <v>22</v>
      </c>
      <c r="C48" s="166">
        <v>23</v>
      </c>
      <c r="D48" t="s">
        <v>171</v>
      </c>
      <c r="E48" t="s">
        <v>210</v>
      </c>
      <c r="F48" s="25">
        <v>6156</v>
      </c>
      <c r="G48" s="15">
        <f>(F48-(LOOKUP(F48,ISR!$A$6:$B$17,ISR!$A$6:$A$17)))*(LOOKUP(F48,ISR!$A$6:$B$17,ISR!$D$6:$D$17))+(LOOKUP(F48,ISR!$A$6:$B$17,ISR!$C$6:$C$17))</f>
        <v>547.4384</v>
      </c>
      <c r="H48" s="15">
        <v>0</v>
      </c>
      <c r="I48" s="35">
        <v>0</v>
      </c>
      <c r="J48" s="15">
        <v>0</v>
      </c>
      <c r="K48" s="15">
        <v>0</v>
      </c>
      <c r="L48" s="35">
        <f>F48-G48-I48-J48-K48+H48</f>
        <v>5608.5616</v>
      </c>
      <c r="M48" s="234"/>
      <c r="N48" s="234"/>
      <c r="O48" s="234"/>
    </row>
    <row r="49" spans="1:17" ht="15" customHeight="1" x14ac:dyDescent="0.25">
      <c r="B49" s="6"/>
      <c r="F49" s="38">
        <f t="shared" ref="F49:L49" si="7">+F48</f>
        <v>6156</v>
      </c>
      <c r="G49" s="11">
        <f t="shared" si="7"/>
        <v>547.4384</v>
      </c>
      <c r="H49" s="11">
        <f>+H48</f>
        <v>0</v>
      </c>
      <c r="I49" s="36">
        <f t="shared" si="7"/>
        <v>0</v>
      </c>
      <c r="J49" s="11">
        <f t="shared" si="7"/>
        <v>0</v>
      </c>
      <c r="K49" s="11">
        <f t="shared" si="7"/>
        <v>0</v>
      </c>
      <c r="L49" s="36">
        <f t="shared" si="7"/>
        <v>5608.5616</v>
      </c>
      <c r="M49" s="212"/>
      <c r="N49" s="24"/>
      <c r="O49" s="24"/>
    </row>
    <row r="50" spans="1:17" ht="15" customHeight="1" x14ac:dyDescent="0.25">
      <c r="B50" s="6"/>
      <c r="F50" s="78"/>
      <c r="G50" s="11"/>
      <c r="H50" s="11"/>
      <c r="I50" s="36"/>
      <c r="J50" s="11"/>
      <c r="K50" s="11"/>
      <c r="L50" s="36"/>
      <c r="M50" s="24"/>
      <c r="N50" s="24"/>
      <c r="O50" s="24"/>
    </row>
    <row r="51" spans="1:17" ht="15" customHeight="1" x14ac:dyDescent="0.25">
      <c r="B51" s="6"/>
      <c r="F51" s="78"/>
      <c r="G51" s="11"/>
      <c r="H51" s="11"/>
      <c r="I51" s="36"/>
      <c r="J51" s="11"/>
      <c r="K51" s="11"/>
      <c r="L51" s="36"/>
      <c r="M51" s="24"/>
      <c r="N51" s="24"/>
      <c r="O51" s="24"/>
    </row>
    <row r="52" spans="1:17" ht="22.5" customHeight="1" x14ac:dyDescent="0.3">
      <c r="B52" s="6"/>
      <c r="D52" s="110" t="s">
        <v>0</v>
      </c>
      <c r="E52" s="111"/>
      <c r="F52" s="36"/>
      <c r="G52" s="11"/>
      <c r="H52" s="11"/>
      <c r="I52" s="36"/>
      <c r="J52" s="11"/>
      <c r="K52" s="11"/>
      <c r="L52" s="11"/>
      <c r="M52" s="24"/>
      <c r="N52" s="24"/>
      <c r="O52" s="24"/>
    </row>
    <row r="53" spans="1:17" ht="21" customHeight="1" x14ac:dyDescent="0.3">
      <c r="B53" s="6"/>
      <c r="D53" s="159" t="s">
        <v>518</v>
      </c>
      <c r="E53" s="111"/>
      <c r="F53" s="36"/>
      <c r="G53" s="11"/>
      <c r="H53" s="11"/>
      <c r="I53" s="36"/>
      <c r="J53" s="11"/>
      <c r="K53" s="250" t="s">
        <v>517</v>
      </c>
      <c r="L53" s="250"/>
      <c r="M53" s="24"/>
      <c r="N53" s="24"/>
      <c r="O53" s="24"/>
    </row>
    <row r="54" spans="1:17" ht="36" customHeight="1" x14ac:dyDescent="0.25">
      <c r="B54" s="6"/>
      <c r="E54" s="1" t="s">
        <v>1</v>
      </c>
      <c r="F54" s="1" t="s">
        <v>3</v>
      </c>
      <c r="G54" s="1" t="s">
        <v>5</v>
      </c>
      <c r="H54" s="68" t="s">
        <v>30</v>
      </c>
      <c r="I54" s="68" t="s">
        <v>117</v>
      </c>
      <c r="J54" s="68" t="s">
        <v>11</v>
      </c>
      <c r="K54" s="68" t="s">
        <v>117</v>
      </c>
      <c r="L54" s="1" t="s">
        <v>12</v>
      </c>
      <c r="M54" s="24"/>
      <c r="N54" s="24"/>
      <c r="O54" s="24"/>
    </row>
    <row r="55" spans="1:17" ht="30" customHeight="1" x14ac:dyDescent="0.25">
      <c r="B55" s="6"/>
      <c r="D55" s="13" t="s">
        <v>139</v>
      </c>
      <c r="F55" s="18"/>
      <c r="G55" s="4"/>
      <c r="L55" s="18"/>
      <c r="M55" s="251"/>
      <c r="N55" s="232"/>
      <c r="O55" s="232"/>
    </row>
    <row r="56" spans="1:17" ht="30" customHeight="1" x14ac:dyDescent="0.25">
      <c r="A56" s="13" t="s">
        <v>249</v>
      </c>
      <c r="B56" s="6" t="s">
        <v>22</v>
      </c>
      <c r="C56" s="166">
        <v>24</v>
      </c>
      <c r="D56" t="s">
        <v>153</v>
      </c>
      <c r="E56" t="s">
        <v>154</v>
      </c>
      <c r="F56" s="35">
        <v>5494.5</v>
      </c>
      <c r="G56" s="15">
        <f>(F56-(LOOKUP(F56,ISR!$A$6:$B$17,ISR!$A$6:$A$17)))*(LOOKUP(F56,ISR!$A$6:$B$17,ISR!$D$6:$D$17))+(LOOKUP(F56,ISR!$A$6:$B$17,ISR!$C$6:$C$17))</f>
        <v>441.59839999999997</v>
      </c>
      <c r="H56" s="15">
        <v>0</v>
      </c>
      <c r="I56" s="35">
        <v>0</v>
      </c>
      <c r="J56" s="15"/>
      <c r="K56" s="15">
        <v>0</v>
      </c>
      <c r="L56" s="35">
        <f>F56-G56-I56-J56-K56+H56</f>
        <v>5052.9016000000001</v>
      </c>
      <c r="M56" s="234"/>
      <c r="N56" s="234"/>
      <c r="O56" s="234"/>
    </row>
    <row r="57" spans="1:17" ht="15" customHeight="1" x14ac:dyDescent="0.25">
      <c r="B57" s="6"/>
      <c r="F57" s="36">
        <f>+F56</f>
        <v>5494.5</v>
      </c>
      <c r="G57" s="11">
        <f t="shared" ref="G57:L57" si="8">SUM(G56)</f>
        <v>441.59839999999997</v>
      </c>
      <c r="H57" s="11">
        <f>SUM(H56)</f>
        <v>0</v>
      </c>
      <c r="I57" s="36">
        <f t="shared" si="8"/>
        <v>0</v>
      </c>
      <c r="J57" s="11">
        <f t="shared" si="8"/>
        <v>0</v>
      </c>
      <c r="K57" s="11">
        <f t="shared" si="8"/>
        <v>0</v>
      </c>
      <c r="L57" s="36">
        <f t="shared" si="8"/>
        <v>5052.9016000000001</v>
      </c>
      <c r="M57" s="246"/>
      <c r="N57" s="246"/>
      <c r="O57" s="246"/>
    </row>
    <row r="58" spans="1:17" ht="30" customHeight="1" x14ac:dyDescent="0.25">
      <c r="B58" s="6"/>
      <c r="D58" s="13" t="s">
        <v>66</v>
      </c>
      <c r="F58" s="18"/>
      <c r="G58" s="4"/>
      <c r="L58" s="18"/>
      <c r="M58" s="232"/>
      <c r="N58" s="232"/>
      <c r="O58" s="232"/>
    </row>
    <row r="59" spans="1:17" ht="30" customHeight="1" x14ac:dyDescent="0.25">
      <c r="B59" s="6" t="s">
        <v>22</v>
      </c>
      <c r="C59" s="166">
        <v>25</v>
      </c>
      <c r="D59" t="s">
        <v>143</v>
      </c>
      <c r="E59" t="s">
        <v>211</v>
      </c>
      <c r="F59" s="35">
        <v>5494.5</v>
      </c>
      <c r="G59" s="15">
        <f>(F59-(LOOKUP(F59,ISR!$A$6:$B$17,ISR!$A$6:$A$17)))*(LOOKUP(F59,ISR!$A$6:$B$17,ISR!$D$6:$D$17))+(LOOKUP(F59,ISR!$A$6:$B$17,ISR!$C$6:$C$17))</f>
        <v>441.59839999999997</v>
      </c>
      <c r="H59" s="15">
        <v>0</v>
      </c>
      <c r="I59" s="35">
        <v>0</v>
      </c>
      <c r="J59" s="15"/>
      <c r="K59" s="15">
        <v>0</v>
      </c>
      <c r="L59" s="35">
        <f>F59-G59-I59-J59-K59+H59</f>
        <v>5052.9016000000001</v>
      </c>
      <c r="M59" s="234"/>
      <c r="N59" s="234"/>
      <c r="O59" s="234"/>
    </row>
    <row r="60" spans="1:17" ht="15" customHeight="1" x14ac:dyDescent="0.25">
      <c r="B60" s="6"/>
      <c r="F60" s="36">
        <f t="shared" ref="F60:L60" si="9">SUM(F59:F59)</f>
        <v>5494.5</v>
      </c>
      <c r="G60" s="11">
        <f t="shared" si="9"/>
        <v>441.59839999999997</v>
      </c>
      <c r="H60" s="11">
        <f>SUM(H59:H59)</f>
        <v>0</v>
      </c>
      <c r="I60" s="36">
        <f t="shared" si="9"/>
        <v>0</v>
      </c>
      <c r="J60" s="11">
        <f t="shared" si="9"/>
        <v>0</v>
      </c>
      <c r="K60" s="11">
        <f t="shared" si="9"/>
        <v>0</v>
      </c>
      <c r="L60" s="36">
        <f t="shared" si="9"/>
        <v>5052.9016000000001</v>
      </c>
      <c r="M60" s="246"/>
      <c r="N60" s="246"/>
      <c r="O60" s="246"/>
    </row>
    <row r="61" spans="1:17" ht="30" customHeight="1" x14ac:dyDescent="0.25">
      <c r="B61" s="6"/>
      <c r="D61" s="13" t="s">
        <v>59</v>
      </c>
      <c r="F61" s="18"/>
      <c r="G61" s="4"/>
      <c r="L61" s="18"/>
      <c r="M61" s="24"/>
      <c r="N61" s="24"/>
      <c r="O61" s="24"/>
      <c r="P61" s="4"/>
    </row>
    <row r="62" spans="1:17" ht="30" customHeight="1" x14ac:dyDescent="0.25">
      <c r="B62" s="6" t="s">
        <v>22</v>
      </c>
      <c r="C62" s="166">
        <v>26</v>
      </c>
      <c r="D62" t="s">
        <v>27</v>
      </c>
      <c r="E62" t="s">
        <v>212</v>
      </c>
      <c r="F62" s="35">
        <v>10697.4</v>
      </c>
      <c r="G62" s="15">
        <f>(F62-(LOOKUP(F62,ISR!$A$6:$B$17,ISR!$A$6:$A$17)))*(LOOKUP(F62,ISR!$A$6:$B$17,ISR!$D$6:$D$17))+(LOOKUP(F62,ISR!$A$6:$B$17,ISR!$C$6:$C$17))</f>
        <v>1461.902664</v>
      </c>
      <c r="H62" s="15"/>
      <c r="I62" s="35">
        <v>0</v>
      </c>
      <c r="J62" s="15">
        <v>0</v>
      </c>
      <c r="K62" s="15">
        <v>0</v>
      </c>
      <c r="L62" s="35">
        <f>F62-G62-I62-J62-K62+H62</f>
        <v>9235.4973360000004</v>
      </c>
      <c r="M62" s="234"/>
      <c r="N62" s="234"/>
      <c r="O62" s="234"/>
      <c r="P62" s="4"/>
      <c r="Q62" s="12"/>
    </row>
    <row r="63" spans="1:17" ht="30" customHeight="1" x14ac:dyDescent="0.25">
      <c r="B63" s="6"/>
      <c r="F63" s="36">
        <f t="shared" ref="F63:L63" si="10">SUM(F62)</f>
        <v>10697.4</v>
      </c>
      <c r="G63" s="36">
        <f t="shared" si="10"/>
        <v>1461.902664</v>
      </c>
      <c r="H63" s="36">
        <f>SUM(H62)</f>
        <v>0</v>
      </c>
      <c r="I63" s="36">
        <f t="shared" si="10"/>
        <v>0</v>
      </c>
      <c r="J63" s="36">
        <f t="shared" si="10"/>
        <v>0</v>
      </c>
      <c r="K63" s="36">
        <f t="shared" si="10"/>
        <v>0</v>
      </c>
      <c r="L63" s="36">
        <f t="shared" si="10"/>
        <v>9235.4973360000004</v>
      </c>
      <c r="M63" s="24"/>
      <c r="N63" s="24"/>
      <c r="O63" s="24"/>
    </row>
    <row r="64" spans="1:17" ht="30" customHeight="1" x14ac:dyDescent="0.25">
      <c r="B64" s="6"/>
      <c r="D64" s="13" t="s">
        <v>327</v>
      </c>
      <c r="F64" s="25"/>
      <c r="G64" s="4"/>
      <c r="H64" s="10"/>
      <c r="I64" s="25"/>
      <c r="J64" s="10"/>
      <c r="K64" s="10"/>
      <c r="L64" s="25"/>
      <c r="M64" s="24"/>
      <c r="N64" s="24"/>
      <c r="O64" s="24"/>
    </row>
    <row r="65" spans="2:16" ht="30" customHeight="1" x14ac:dyDescent="0.25">
      <c r="B65" s="6" t="s">
        <v>22</v>
      </c>
      <c r="C65" s="166">
        <v>27</v>
      </c>
      <c r="D65" t="s">
        <v>189</v>
      </c>
      <c r="E65" t="s">
        <v>156</v>
      </c>
      <c r="F65" s="35">
        <v>5494.5</v>
      </c>
      <c r="G65" s="15">
        <f>(F65-(LOOKUP(F65,ISR!$A$6:$B$17,ISR!$A$6:$A$17)))*(LOOKUP(F65,ISR!$A$6:$B$17,ISR!$D$6:$D$17))+(LOOKUP(F65,ISR!$A$6:$B$17,ISR!$C$6:$C$17))</f>
        <v>441.59839999999997</v>
      </c>
      <c r="H65" s="15">
        <v>0</v>
      </c>
      <c r="I65" s="35">
        <v>0</v>
      </c>
      <c r="J65" s="15">
        <v>0</v>
      </c>
      <c r="K65" s="15">
        <v>0</v>
      </c>
      <c r="L65" s="35">
        <f>F65-G65-I65-J65-K65+H65</f>
        <v>5052.9016000000001</v>
      </c>
      <c r="M65" s="234"/>
      <c r="N65" s="234"/>
      <c r="O65" s="234"/>
    </row>
    <row r="66" spans="2:16" ht="30" customHeight="1" x14ac:dyDescent="0.25">
      <c r="B66" s="6"/>
      <c r="F66" s="36">
        <f>SUM(F65)</f>
        <v>5494.5</v>
      </c>
      <c r="G66" s="36">
        <f>SUM(G65)</f>
        <v>441.59839999999997</v>
      </c>
      <c r="H66" s="36"/>
      <c r="I66" s="36">
        <f>SUM(I62:I65)</f>
        <v>0</v>
      </c>
      <c r="J66" s="36">
        <f>SUM(J62:J65)</f>
        <v>0</v>
      </c>
      <c r="K66" s="36">
        <f>SUM(K62:K65)</f>
        <v>0</v>
      </c>
      <c r="L66" s="36">
        <f>SUM(L65)</f>
        <v>5052.9016000000001</v>
      </c>
      <c r="M66" s="24"/>
      <c r="N66" s="24"/>
      <c r="O66" s="24"/>
    </row>
    <row r="67" spans="2:16" ht="30" customHeight="1" x14ac:dyDescent="0.25">
      <c r="B67" s="6"/>
      <c r="D67" s="13" t="s">
        <v>190</v>
      </c>
      <c r="F67" s="18"/>
      <c r="G67" s="4"/>
      <c r="L67" s="18"/>
      <c r="M67" s="24"/>
      <c r="N67" s="24"/>
      <c r="O67" s="24"/>
    </row>
    <row r="68" spans="2:16" ht="35.25" customHeight="1" x14ac:dyDescent="0.25">
      <c r="B68" s="6" t="s">
        <v>22</v>
      </c>
      <c r="C68" s="166">
        <v>28</v>
      </c>
      <c r="D68" t="s">
        <v>14</v>
      </c>
      <c r="E68" t="s">
        <v>213</v>
      </c>
      <c r="F68" s="35">
        <v>6156</v>
      </c>
      <c r="G68" s="15">
        <f>(F68-(LOOKUP(F68,ISR!$A$6:$B$17,ISR!$A$6:$A$17)))*(LOOKUP(F68,ISR!$A$6:$B$17,ISR!$D$6:$D$17))+(LOOKUP(F68,ISR!$A$6:$B$17,ISR!$C$6:$C$17))</f>
        <v>547.4384</v>
      </c>
      <c r="H68" s="15">
        <v>0</v>
      </c>
      <c r="I68" s="35"/>
      <c r="J68" s="15">
        <v>0</v>
      </c>
      <c r="K68" s="15">
        <v>0</v>
      </c>
      <c r="L68" s="35">
        <f>F68-G68-I68-J68-K68+H68</f>
        <v>5608.5616</v>
      </c>
      <c r="M68" s="234"/>
      <c r="N68" s="234"/>
      <c r="O68" s="234"/>
      <c r="P68" t="s">
        <v>375</v>
      </c>
    </row>
    <row r="69" spans="2:16" ht="15" customHeight="1" x14ac:dyDescent="0.25">
      <c r="B69" s="6"/>
      <c r="F69" s="36">
        <f t="shared" ref="F69:L69" si="11">SUM(F68)</f>
        <v>6156</v>
      </c>
      <c r="G69" s="36">
        <f t="shared" si="11"/>
        <v>547.4384</v>
      </c>
      <c r="H69" s="36">
        <f t="shared" si="11"/>
        <v>0</v>
      </c>
      <c r="I69" s="36">
        <f>SUM(I68)</f>
        <v>0</v>
      </c>
      <c r="J69" s="36">
        <f t="shared" si="11"/>
        <v>0</v>
      </c>
      <c r="K69" s="36">
        <f t="shared" si="11"/>
        <v>0</v>
      </c>
      <c r="L69" s="36">
        <f t="shared" si="11"/>
        <v>5608.5616</v>
      </c>
      <c r="M69" s="24"/>
      <c r="N69" s="24"/>
      <c r="O69" s="24"/>
    </row>
    <row r="70" spans="2:16" ht="15" customHeight="1" x14ac:dyDescent="0.25">
      <c r="B70" s="6"/>
      <c r="F70" s="36"/>
      <c r="G70" s="36"/>
      <c r="H70" s="36"/>
      <c r="I70" s="36"/>
      <c r="J70" s="36"/>
      <c r="K70" s="36"/>
      <c r="L70" s="36"/>
      <c r="M70" s="24"/>
      <c r="N70" s="24"/>
      <c r="O70" s="24"/>
    </row>
    <row r="71" spans="2:16" ht="30" customHeight="1" x14ac:dyDescent="0.25">
      <c r="B71" s="6"/>
      <c r="D71" s="13" t="s">
        <v>132</v>
      </c>
      <c r="F71" s="18"/>
      <c r="G71" s="4"/>
      <c r="L71" s="18"/>
      <c r="M71" s="24"/>
      <c r="N71" s="24"/>
      <c r="O71" s="24"/>
    </row>
    <row r="72" spans="2:16" ht="30" customHeight="1" x14ac:dyDescent="0.25">
      <c r="B72" s="6" t="s">
        <v>22</v>
      </c>
      <c r="C72" s="166">
        <v>29</v>
      </c>
      <c r="D72" t="s">
        <v>14</v>
      </c>
      <c r="E72" t="s">
        <v>214</v>
      </c>
      <c r="F72" s="25">
        <v>5494.5</v>
      </c>
      <c r="G72" s="15">
        <f>(F72-(LOOKUP(F72,ISR!$A$6:$B$17,ISR!$A$6:$A$17)))*(LOOKUP(F72,ISR!$A$6:$B$17,ISR!$D$6:$D$17))+(LOOKUP(F72,ISR!$A$6:$B$17,ISR!$C$6:$C$17))</f>
        <v>441.59839999999997</v>
      </c>
      <c r="H72" s="10">
        <v>0</v>
      </c>
      <c r="I72" s="25">
        <v>0</v>
      </c>
      <c r="J72" s="10"/>
      <c r="K72" s="10">
        <v>0</v>
      </c>
      <c r="L72" s="25">
        <f>F72-G72-I72-J72-K72+H72</f>
        <v>5052.9016000000001</v>
      </c>
      <c r="M72" s="234"/>
      <c r="N72" s="234"/>
      <c r="O72" s="234"/>
    </row>
    <row r="73" spans="2:16" ht="15" customHeight="1" x14ac:dyDescent="0.25">
      <c r="B73" s="6"/>
      <c r="F73" s="38">
        <f t="shared" ref="F73:L73" si="12">SUM(F72:F72)</f>
        <v>5494.5</v>
      </c>
      <c r="G73" s="38">
        <f t="shared" si="12"/>
        <v>441.59839999999997</v>
      </c>
      <c r="H73" s="38">
        <f t="shared" si="12"/>
        <v>0</v>
      </c>
      <c r="I73" s="38">
        <f t="shared" si="12"/>
        <v>0</v>
      </c>
      <c r="J73" s="38">
        <f t="shared" si="12"/>
        <v>0</v>
      </c>
      <c r="K73" s="38">
        <f t="shared" si="12"/>
        <v>0</v>
      </c>
      <c r="L73" s="38">
        <f t="shared" si="12"/>
        <v>5052.9016000000001</v>
      </c>
      <c r="M73" s="246"/>
      <c r="N73" s="246"/>
      <c r="O73" s="246"/>
    </row>
    <row r="74" spans="2:16" ht="30" customHeight="1" x14ac:dyDescent="0.25">
      <c r="B74" s="6"/>
      <c r="D74" s="13" t="s">
        <v>133</v>
      </c>
      <c r="F74" s="18"/>
      <c r="G74" s="4"/>
      <c r="L74" s="18"/>
      <c r="M74" s="24"/>
      <c r="N74" s="24"/>
      <c r="O74" s="24"/>
    </row>
    <row r="75" spans="2:16" ht="31.5" customHeight="1" x14ac:dyDescent="0.25">
      <c r="B75" s="6" t="s">
        <v>22</v>
      </c>
      <c r="C75" s="166">
        <v>30</v>
      </c>
      <c r="D75" t="s">
        <v>14</v>
      </c>
      <c r="E75" t="s">
        <v>206</v>
      </c>
      <c r="F75" s="35">
        <v>5494.5</v>
      </c>
      <c r="G75" s="15">
        <f>(F75-(LOOKUP(F75,ISR!$A$6:$B$17,ISR!$A$6:$A$17)))*(LOOKUP(F75,ISR!$A$6:$B$17,ISR!$D$6:$D$17))+(LOOKUP(F75,ISR!$A$6:$B$17,ISR!$C$6:$C$17))</f>
        <v>441.59839999999997</v>
      </c>
      <c r="H75" s="15">
        <v>0</v>
      </c>
      <c r="I75" s="35"/>
      <c r="J75" s="15"/>
      <c r="K75" s="15">
        <v>0</v>
      </c>
      <c r="L75" s="35">
        <f>F75-G75-I75-J75-K75+H75</f>
        <v>5052.9016000000001</v>
      </c>
      <c r="M75" s="234"/>
      <c r="N75" s="234"/>
      <c r="O75" s="234"/>
      <c r="P75" t="s">
        <v>359</v>
      </c>
    </row>
    <row r="76" spans="2:16" ht="15" customHeight="1" x14ac:dyDescent="0.25">
      <c r="B76" s="6"/>
      <c r="F76" s="36">
        <f t="shared" ref="F76:L76" si="13">SUM(F75:F75)</f>
        <v>5494.5</v>
      </c>
      <c r="G76" s="11">
        <f t="shared" si="13"/>
        <v>441.59839999999997</v>
      </c>
      <c r="H76" s="11">
        <f>SUM(H75:H75)</f>
        <v>0</v>
      </c>
      <c r="I76" s="36">
        <f t="shared" si="13"/>
        <v>0</v>
      </c>
      <c r="J76" s="11">
        <f t="shared" si="13"/>
        <v>0</v>
      </c>
      <c r="K76" s="11">
        <f t="shared" si="13"/>
        <v>0</v>
      </c>
      <c r="L76" s="36">
        <f t="shared" si="13"/>
        <v>5052.9016000000001</v>
      </c>
      <c r="M76" s="24"/>
      <c r="N76" s="24"/>
      <c r="O76" s="24"/>
    </row>
    <row r="77" spans="2:16" ht="21.75" customHeight="1" x14ac:dyDescent="0.25">
      <c r="B77" s="6"/>
      <c r="D77" s="13" t="s">
        <v>169</v>
      </c>
      <c r="F77" s="18"/>
      <c r="G77" s="4"/>
      <c r="L77" s="18"/>
      <c r="M77" s="232"/>
      <c r="N77" s="232"/>
      <c r="O77" s="232"/>
    </row>
    <row r="78" spans="2:16" ht="43.5" customHeight="1" x14ac:dyDescent="0.25">
      <c r="B78" s="6" t="s">
        <v>22</v>
      </c>
      <c r="C78" s="166">
        <v>31</v>
      </c>
      <c r="D78" t="s">
        <v>185</v>
      </c>
      <c r="E78" t="s">
        <v>217</v>
      </c>
      <c r="F78" s="35">
        <v>5494.5</v>
      </c>
      <c r="G78" s="15">
        <f>(F78-(LOOKUP(F78,ISR!$A$6:$B$17,ISR!$A$6:$A$17)))*(LOOKUP(F78,ISR!$A$6:$B$17,ISR!$D$6:$D$17))+(LOOKUP(F78,ISR!$A$6:$B$17,ISR!$C$6:$C$17))</f>
        <v>441.59839999999997</v>
      </c>
      <c r="H78" s="15"/>
      <c r="I78" s="35">
        <v>0</v>
      </c>
      <c r="J78" s="15">
        <v>0</v>
      </c>
      <c r="K78" s="15">
        <v>0</v>
      </c>
      <c r="L78" s="35">
        <f>F78-G78-I78-J78-K78+H78</f>
        <v>5052.9016000000001</v>
      </c>
      <c r="M78" s="234"/>
      <c r="N78" s="234"/>
      <c r="O78" s="234"/>
    </row>
    <row r="79" spans="2:16" ht="15" customHeight="1" x14ac:dyDescent="0.25">
      <c r="B79" s="6"/>
      <c r="F79" s="36">
        <f>SUM(F77:F78)</f>
        <v>5494.5</v>
      </c>
      <c r="G79" s="11">
        <f>SUM(G78:G78)</f>
        <v>441.59839999999997</v>
      </c>
      <c r="H79" s="11">
        <f>SUM(H78:H78)</f>
        <v>0</v>
      </c>
      <c r="I79" s="36">
        <f>SUM(I78:I78)</f>
        <v>0</v>
      </c>
      <c r="J79" s="11">
        <f>SUM(J78:J78)</f>
        <v>0</v>
      </c>
      <c r="K79" s="11">
        <f>SUM(K78:K78)</f>
        <v>0</v>
      </c>
      <c r="L79" s="36">
        <f>SUM(L77:L78)</f>
        <v>5052.9016000000001</v>
      </c>
      <c r="M79" s="24"/>
      <c r="N79" s="24"/>
      <c r="O79" s="24"/>
    </row>
    <row r="80" spans="2:16" ht="15" customHeight="1" x14ac:dyDescent="0.25">
      <c r="B80" s="6"/>
      <c r="F80" s="36"/>
      <c r="G80" s="11"/>
      <c r="H80" s="11"/>
      <c r="I80" s="36"/>
      <c r="J80" s="11"/>
      <c r="K80" s="11"/>
      <c r="L80" s="36"/>
      <c r="M80" s="24"/>
      <c r="N80" s="24"/>
      <c r="O80" s="24"/>
    </row>
    <row r="81" spans="2:24" ht="15" customHeight="1" x14ac:dyDescent="0.25">
      <c r="B81" s="6"/>
      <c r="F81" s="36"/>
      <c r="G81" s="11"/>
      <c r="H81" s="11"/>
      <c r="I81" s="36"/>
      <c r="J81" s="11"/>
      <c r="K81" s="11"/>
      <c r="L81" s="36"/>
      <c r="M81" s="24"/>
      <c r="N81" s="24"/>
      <c r="O81" s="24"/>
    </row>
    <row r="82" spans="2:24" ht="26.25" customHeight="1" x14ac:dyDescent="0.3">
      <c r="B82" s="6"/>
      <c r="D82" s="110" t="s">
        <v>0</v>
      </c>
      <c r="E82" s="111"/>
      <c r="F82" s="36"/>
      <c r="G82" s="11"/>
      <c r="H82" s="11"/>
      <c r="I82" s="36"/>
      <c r="J82" s="11"/>
      <c r="K82" s="11"/>
      <c r="L82" s="11"/>
      <c r="M82" s="24"/>
      <c r="N82" s="24"/>
      <c r="O82" s="24"/>
      <c r="P82" s="110"/>
      <c r="Q82" s="111"/>
      <c r="R82" s="36"/>
      <c r="S82" s="11"/>
      <c r="T82" s="11"/>
      <c r="U82" s="11"/>
      <c r="V82" s="11"/>
      <c r="W82" s="11"/>
      <c r="X82" s="11"/>
    </row>
    <row r="83" spans="2:24" ht="19.5" customHeight="1" x14ac:dyDescent="0.3">
      <c r="B83" s="6"/>
      <c r="D83" s="159" t="s">
        <v>518</v>
      </c>
      <c r="E83" s="111"/>
      <c r="F83" s="36"/>
      <c r="G83" s="11"/>
      <c r="H83" s="11"/>
      <c r="I83" s="36"/>
      <c r="J83" s="11"/>
      <c r="K83" s="250" t="s">
        <v>517</v>
      </c>
      <c r="L83" s="250"/>
      <c r="M83" s="24"/>
      <c r="N83" s="24"/>
      <c r="O83" s="24"/>
      <c r="P83" s="110"/>
      <c r="Q83" s="111"/>
      <c r="R83" s="36"/>
      <c r="S83" s="11"/>
      <c r="T83" s="11"/>
      <c r="U83" s="11"/>
      <c r="V83" s="11"/>
      <c r="W83" s="11"/>
      <c r="X83" s="11"/>
    </row>
    <row r="84" spans="2:24" ht="33.75" customHeight="1" x14ac:dyDescent="0.3">
      <c r="B84" s="6"/>
      <c r="E84" s="1" t="s">
        <v>1</v>
      </c>
      <c r="F84" s="1" t="s">
        <v>3</v>
      </c>
      <c r="G84" s="1" t="s">
        <v>5</v>
      </c>
      <c r="H84" s="68" t="s">
        <v>30</v>
      </c>
      <c r="I84" s="68" t="s">
        <v>117</v>
      </c>
      <c r="J84" s="68" t="s">
        <v>11</v>
      </c>
      <c r="K84" s="68" t="s">
        <v>117</v>
      </c>
      <c r="L84" s="1" t="s">
        <v>12</v>
      </c>
      <c r="M84" s="24"/>
      <c r="N84" s="24"/>
      <c r="O84" s="24"/>
      <c r="P84" s="111"/>
      <c r="Q84" s="111"/>
      <c r="R84" s="36"/>
      <c r="S84" s="11"/>
      <c r="T84" s="11"/>
      <c r="U84" s="11"/>
      <c r="V84" s="11"/>
      <c r="W84" s="11"/>
      <c r="X84" s="11"/>
    </row>
    <row r="85" spans="2:24" ht="30" customHeight="1" x14ac:dyDescent="0.25">
      <c r="B85" s="6"/>
      <c r="D85" s="13" t="s">
        <v>131</v>
      </c>
      <c r="F85" s="18"/>
      <c r="G85" s="4"/>
      <c r="L85" s="18"/>
      <c r="M85" s="24"/>
      <c r="N85" s="24"/>
      <c r="O85" s="24"/>
    </row>
    <row r="86" spans="2:24" ht="30" customHeight="1" x14ac:dyDescent="0.25">
      <c r="B86" s="6" t="s">
        <v>22</v>
      </c>
      <c r="C86" s="166">
        <v>32</v>
      </c>
      <c r="D86" t="s">
        <v>14</v>
      </c>
      <c r="E86" t="s">
        <v>218</v>
      </c>
      <c r="F86" s="35">
        <v>5494.5</v>
      </c>
      <c r="G86" s="15">
        <f>(F86-(LOOKUP(F86,ISR!$A$6:$B$17,ISR!$A$6:$A$17)))*(LOOKUP(F86,ISR!$A$6:$B$17,ISR!$D$6:$D$17))+(LOOKUP(F86,ISR!$A$6:$B$17,ISR!$C$6:$C$17))</f>
        <v>441.59839999999997</v>
      </c>
      <c r="H86" s="15"/>
      <c r="I86" s="35">
        <v>0</v>
      </c>
      <c r="J86" s="15"/>
      <c r="K86" s="15">
        <v>0</v>
      </c>
      <c r="L86" s="35">
        <f>F86-G86-I86-J86-K86+H86</f>
        <v>5052.9016000000001</v>
      </c>
      <c r="M86" s="234"/>
      <c r="N86" s="234"/>
      <c r="O86" s="234"/>
    </row>
    <row r="87" spans="2:24" ht="15" customHeight="1" x14ac:dyDescent="0.25">
      <c r="B87" s="6"/>
      <c r="F87" s="36">
        <f t="shared" ref="F87:L87" si="14">SUM(F86:F86)</f>
        <v>5494.5</v>
      </c>
      <c r="G87" s="11">
        <f t="shared" si="14"/>
        <v>441.59839999999997</v>
      </c>
      <c r="H87" s="11">
        <f t="shared" si="14"/>
        <v>0</v>
      </c>
      <c r="I87" s="36">
        <f t="shared" si="14"/>
        <v>0</v>
      </c>
      <c r="J87" s="11">
        <f t="shared" si="14"/>
        <v>0</v>
      </c>
      <c r="K87" s="11">
        <f t="shared" si="14"/>
        <v>0</v>
      </c>
      <c r="L87" s="36">
        <f t="shared" si="14"/>
        <v>5052.9016000000001</v>
      </c>
      <c r="M87" s="24"/>
      <c r="N87" s="24"/>
      <c r="O87" s="24"/>
    </row>
    <row r="88" spans="2:24" ht="30" customHeight="1" x14ac:dyDescent="0.25">
      <c r="B88" s="6"/>
      <c r="D88" s="13" t="s">
        <v>134</v>
      </c>
      <c r="F88" s="18"/>
      <c r="G88" s="4"/>
      <c r="L88" s="18"/>
      <c r="M88" s="232"/>
      <c r="N88" s="232"/>
      <c r="O88" s="232"/>
    </row>
    <row r="89" spans="2:24" ht="30" customHeight="1" x14ac:dyDescent="0.25">
      <c r="B89" s="6" t="s">
        <v>22</v>
      </c>
      <c r="C89" s="166">
        <v>33</v>
      </c>
      <c r="D89" t="s">
        <v>185</v>
      </c>
      <c r="E89" t="s">
        <v>219</v>
      </c>
      <c r="F89" s="35">
        <v>5494.5</v>
      </c>
      <c r="G89" s="15">
        <f>(F89-(LOOKUP(F89,ISR!$A$6:$B$17,ISR!$A$6:$A$17)))*(LOOKUP(F89,ISR!$A$6:$B$17,ISR!$D$6:$D$17))+(LOOKUP(F89,ISR!$A$6:$B$17,ISR!$C$6:$C$17))</f>
        <v>441.59839999999997</v>
      </c>
      <c r="H89" s="15">
        <v>0</v>
      </c>
      <c r="I89" s="35">
        <v>0</v>
      </c>
      <c r="J89" s="15"/>
      <c r="K89" s="15">
        <v>0</v>
      </c>
      <c r="L89" s="35">
        <f>F89-G89-I89-J89-K89+H89</f>
        <v>5052.9016000000001</v>
      </c>
      <c r="M89" s="74"/>
      <c r="N89" s="74"/>
      <c r="O89" s="74"/>
    </row>
    <row r="90" spans="2:24" ht="15" customHeight="1" x14ac:dyDescent="0.25">
      <c r="B90" s="6"/>
      <c r="F90" s="36">
        <f t="shared" ref="F90:L90" si="15">SUM(F89:F89)</f>
        <v>5494.5</v>
      </c>
      <c r="G90" s="11">
        <f t="shared" si="15"/>
        <v>441.59839999999997</v>
      </c>
      <c r="H90" s="11">
        <f t="shared" si="15"/>
        <v>0</v>
      </c>
      <c r="I90" s="36">
        <f t="shared" si="15"/>
        <v>0</v>
      </c>
      <c r="J90" s="11">
        <f t="shared" si="15"/>
        <v>0</v>
      </c>
      <c r="K90" s="11">
        <f t="shared" si="15"/>
        <v>0</v>
      </c>
      <c r="L90" s="36">
        <f t="shared" si="15"/>
        <v>5052.9016000000001</v>
      </c>
      <c r="M90" s="24"/>
      <c r="N90" s="24"/>
      <c r="O90" s="24"/>
    </row>
    <row r="91" spans="2:24" ht="30" customHeight="1" x14ac:dyDescent="0.25">
      <c r="B91" s="6"/>
      <c r="D91" s="13" t="s">
        <v>332</v>
      </c>
      <c r="F91" s="18"/>
      <c r="G91" s="4"/>
      <c r="L91" s="18"/>
      <c r="M91" s="24"/>
      <c r="N91" s="24"/>
      <c r="O91" s="24"/>
    </row>
    <row r="92" spans="2:24" ht="30" customHeight="1" x14ac:dyDescent="0.25">
      <c r="B92" s="6" t="s">
        <v>22</v>
      </c>
      <c r="C92" s="166">
        <v>34</v>
      </c>
      <c r="D92" t="s">
        <v>185</v>
      </c>
      <c r="E92" t="s">
        <v>220</v>
      </c>
      <c r="F92" s="35">
        <v>5494.5</v>
      </c>
      <c r="G92" s="15">
        <f>(F92-(LOOKUP(F92,ISR!$A$6:$B$17,ISR!$A$6:$A$17)))*(LOOKUP(F92,ISR!$A$6:$B$17,ISR!$D$6:$D$17))+(LOOKUP(F92,ISR!$A$6:$B$17,ISR!$C$6:$C$17))</f>
        <v>441.59839999999997</v>
      </c>
      <c r="H92" s="15">
        <v>0</v>
      </c>
      <c r="I92" s="35">
        <v>0</v>
      </c>
      <c r="J92" s="15">
        <v>0</v>
      </c>
      <c r="K92" s="15">
        <v>0</v>
      </c>
      <c r="L92" s="35">
        <f>F92-G92-I92-J92-K92+H92</f>
        <v>5052.9016000000001</v>
      </c>
      <c r="M92" s="74"/>
      <c r="N92" s="74"/>
      <c r="O92" s="74"/>
    </row>
    <row r="93" spans="2:24" ht="15" customHeight="1" x14ac:dyDescent="0.25">
      <c r="B93" s="6"/>
      <c r="F93" s="36">
        <f t="shared" ref="F93:L93" si="16">SUM(F92:F92)</f>
        <v>5494.5</v>
      </c>
      <c r="G93" s="11">
        <f t="shared" si="16"/>
        <v>441.59839999999997</v>
      </c>
      <c r="H93" s="11">
        <f>SUM(H92:H92)</f>
        <v>0</v>
      </c>
      <c r="I93" s="36">
        <f t="shared" si="16"/>
        <v>0</v>
      </c>
      <c r="J93" s="11">
        <f t="shared" si="16"/>
        <v>0</v>
      </c>
      <c r="K93" s="11">
        <f t="shared" si="16"/>
        <v>0</v>
      </c>
      <c r="L93" s="36">
        <f t="shared" si="16"/>
        <v>5052.9016000000001</v>
      </c>
      <c r="M93" s="246"/>
      <c r="N93" s="246"/>
      <c r="O93" s="246"/>
    </row>
    <row r="94" spans="2:24" ht="30" customHeight="1" x14ac:dyDescent="0.25">
      <c r="B94" s="6"/>
      <c r="D94" s="13" t="s">
        <v>191</v>
      </c>
      <c r="F94" s="18"/>
      <c r="G94" s="4"/>
      <c r="L94" s="18"/>
      <c r="M94" s="24"/>
      <c r="N94" s="24"/>
      <c r="O94" s="24"/>
    </row>
    <row r="95" spans="2:24" ht="30" customHeight="1" x14ac:dyDescent="0.25">
      <c r="B95" s="6" t="s">
        <v>22</v>
      </c>
      <c r="C95" s="166">
        <v>35</v>
      </c>
      <c r="D95" t="s">
        <v>14</v>
      </c>
      <c r="E95" t="s">
        <v>221</v>
      </c>
      <c r="F95" s="35">
        <v>6480</v>
      </c>
      <c r="G95" s="15">
        <f>(F95-(LOOKUP(F95,ISR!$A$6:$B$17,ISR!$A$6:$A$17)))*(LOOKUP(F95,ISR!$A$6:$B$17,ISR!$D$6:$D$17))+(LOOKUP(F95,ISR!$A$6:$B$17,ISR!$C$6:$C$17))</f>
        <v>601.06644799999992</v>
      </c>
      <c r="H95" s="15"/>
      <c r="I95" s="35">
        <v>0</v>
      </c>
      <c r="J95" s="15">
        <v>0</v>
      </c>
      <c r="K95" s="15">
        <v>0</v>
      </c>
      <c r="L95" s="35">
        <f>F95-G95-I95-J95-K95+H95</f>
        <v>5878.9335520000004</v>
      </c>
      <c r="M95" s="234"/>
      <c r="N95" s="234"/>
      <c r="O95" s="234"/>
    </row>
    <row r="96" spans="2:24" ht="15" customHeight="1" x14ac:dyDescent="0.25">
      <c r="B96" s="6"/>
      <c r="F96" s="36">
        <f t="shared" ref="F96:L96" si="17">SUM(F95)</f>
        <v>6480</v>
      </c>
      <c r="G96" s="11">
        <f t="shared" si="17"/>
        <v>601.06644799999992</v>
      </c>
      <c r="H96" s="11">
        <f t="shared" si="17"/>
        <v>0</v>
      </c>
      <c r="I96" s="36">
        <f t="shared" si="17"/>
        <v>0</v>
      </c>
      <c r="J96" s="11">
        <f t="shared" si="17"/>
        <v>0</v>
      </c>
      <c r="K96" s="11">
        <f t="shared" si="17"/>
        <v>0</v>
      </c>
      <c r="L96" s="36">
        <f t="shared" si="17"/>
        <v>5878.9335520000004</v>
      </c>
      <c r="M96" s="24"/>
      <c r="N96" s="24"/>
      <c r="O96" s="24"/>
    </row>
    <row r="97" spans="1:15" ht="30" customHeight="1" x14ac:dyDescent="0.25">
      <c r="B97" s="6"/>
      <c r="D97" s="13" t="s">
        <v>180</v>
      </c>
      <c r="F97" s="18"/>
      <c r="G97" s="4"/>
      <c r="L97" s="18"/>
      <c r="M97" s="24"/>
      <c r="N97" s="24"/>
      <c r="O97" s="24"/>
    </row>
    <row r="98" spans="1:15" ht="31.5" customHeight="1" x14ac:dyDescent="0.25">
      <c r="B98" s="6" t="s">
        <v>22</v>
      </c>
      <c r="C98" s="166">
        <v>36</v>
      </c>
      <c r="D98" t="s">
        <v>14</v>
      </c>
      <c r="E98" t="s">
        <v>222</v>
      </c>
      <c r="F98" s="35">
        <v>5494.5</v>
      </c>
      <c r="G98" s="15">
        <f>(F98-(LOOKUP(F98,ISR!$A$6:$B$17,ISR!$A$6:$A$17)))*(LOOKUP(F98,ISR!$A$6:$B$17,ISR!$D$6:$D$17))+(LOOKUP(F98,ISR!$A$6:$B$17,ISR!$C$6:$C$17))</f>
        <v>441.59839999999997</v>
      </c>
      <c r="H98" s="15">
        <v>0</v>
      </c>
      <c r="I98" s="35">
        <v>0</v>
      </c>
      <c r="J98" s="15"/>
      <c r="K98" s="15">
        <v>0</v>
      </c>
      <c r="L98" s="35">
        <f>F98-G98-I98-J98-K98+H98</f>
        <v>5052.9016000000001</v>
      </c>
      <c r="M98" s="234"/>
      <c r="N98" s="234"/>
      <c r="O98" s="234"/>
    </row>
    <row r="99" spans="1:15" ht="15" customHeight="1" x14ac:dyDescent="0.25">
      <c r="B99" s="6"/>
      <c r="F99" s="36">
        <f t="shared" ref="F99:L99" si="18">SUM(F98)</f>
        <v>5494.5</v>
      </c>
      <c r="G99" s="11">
        <f t="shared" si="18"/>
        <v>441.59839999999997</v>
      </c>
      <c r="H99" s="11">
        <f t="shared" si="18"/>
        <v>0</v>
      </c>
      <c r="I99" s="36">
        <f t="shared" si="18"/>
        <v>0</v>
      </c>
      <c r="J99" s="11">
        <f t="shared" si="18"/>
        <v>0</v>
      </c>
      <c r="K99" s="11">
        <f t="shared" si="18"/>
        <v>0</v>
      </c>
      <c r="L99" s="36">
        <f t="shared" si="18"/>
        <v>5052.9016000000001</v>
      </c>
      <c r="M99" s="24"/>
      <c r="N99" s="24"/>
      <c r="O99" s="24"/>
    </row>
    <row r="100" spans="1:15" ht="30" customHeight="1" x14ac:dyDescent="0.25">
      <c r="B100" s="6"/>
      <c r="D100" s="13" t="s">
        <v>135</v>
      </c>
      <c r="F100" s="18"/>
      <c r="G100" s="4"/>
      <c r="L100" s="18"/>
      <c r="M100" s="232"/>
      <c r="N100" s="232"/>
      <c r="O100" s="232"/>
    </row>
    <row r="101" spans="1:15" ht="30" customHeight="1" x14ac:dyDescent="0.25">
      <c r="B101" s="6" t="s">
        <v>22</v>
      </c>
      <c r="C101" s="166">
        <v>37</v>
      </c>
      <c r="D101" t="s">
        <v>14</v>
      </c>
      <c r="E101" t="s">
        <v>246</v>
      </c>
      <c r="F101" s="35">
        <v>6156</v>
      </c>
      <c r="G101" s="15">
        <f>(F101-(LOOKUP(F101,ISR!$A$6:$B$17,ISR!$A$6:$A$17)))*(LOOKUP(F101,ISR!$A$6:$B$17,ISR!$D$6:$D$17))+(LOOKUP(F101,ISR!$A$6:$B$17,ISR!$C$6:$C$17))</f>
        <v>547.4384</v>
      </c>
      <c r="H101" s="15"/>
      <c r="I101" s="35">
        <v>0</v>
      </c>
      <c r="J101" s="15">
        <v>0</v>
      </c>
      <c r="K101" s="15">
        <v>0</v>
      </c>
      <c r="L101" s="35">
        <f>F101-G101-I101-J101-K101+H101</f>
        <v>5608.5616</v>
      </c>
      <c r="M101" s="234"/>
      <c r="N101" s="234"/>
      <c r="O101" s="234"/>
    </row>
    <row r="102" spans="1:15" ht="15" customHeight="1" x14ac:dyDescent="0.25">
      <c r="B102" s="6"/>
      <c r="F102" s="11">
        <f t="shared" ref="F102:L102" si="19">SUM(F101:F101)</f>
        <v>6156</v>
      </c>
      <c r="G102" s="11">
        <f t="shared" si="19"/>
        <v>547.4384</v>
      </c>
      <c r="H102" s="11">
        <f>SUM(H101:H101)</f>
        <v>0</v>
      </c>
      <c r="I102" s="36">
        <f t="shared" si="19"/>
        <v>0</v>
      </c>
      <c r="J102" s="11">
        <f t="shared" si="19"/>
        <v>0</v>
      </c>
      <c r="K102" s="11">
        <f t="shared" si="19"/>
        <v>0</v>
      </c>
      <c r="L102" s="36">
        <f t="shared" si="19"/>
        <v>5608.5616</v>
      </c>
      <c r="M102" s="246"/>
      <c r="N102" s="246"/>
      <c r="O102" s="246"/>
    </row>
    <row r="103" spans="1:15" ht="30" customHeight="1" x14ac:dyDescent="0.25">
      <c r="B103" s="6"/>
      <c r="D103" s="13" t="s">
        <v>140</v>
      </c>
      <c r="F103" s="11"/>
      <c r="G103" s="11"/>
      <c r="H103" s="11"/>
      <c r="I103" s="36"/>
      <c r="J103" s="11"/>
      <c r="K103" s="11"/>
      <c r="L103" s="36"/>
      <c r="M103" s="24"/>
      <c r="N103" s="24"/>
      <c r="O103" s="24"/>
    </row>
    <row r="104" spans="1:15" ht="30" customHeight="1" x14ac:dyDescent="0.25">
      <c r="A104" s="13"/>
      <c r="B104" s="6" t="s">
        <v>22</v>
      </c>
      <c r="C104" s="166">
        <v>38</v>
      </c>
      <c r="D104" t="s">
        <v>14</v>
      </c>
      <c r="E104" t="s">
        <v>223</v>
      </c>
      <c r="F104" s="35">
        <v>5494.5</v>
      </c>
      <c r="G104" s="15">
        <f>(F104-(LOOKUP(F104,ISR!$A$6:$B$17,ISR!$A$6:$A$17)))*(LOOKUP(F104,ISR!$A$6:$B$17,ISR!$D$6:$D$17))+(LOOKUP(F104,ISR!$A$6:$B$17,ISR!$C$6:$C$17))</f>
        <v>441.59839999999997</v>
      </c>
      <c r="H104" s="15"/>
      <c r="I104" s="35">
        <v>0</v>
      </c>
      <c r="J104" s="15">
        <v>0</v>
      </c>
      <c r="K104" s="15">
        <v>0</v>
      </c>
      <c r="L104" s="35">
        <f>F104-G104-I104-J104-K104+H104</f>
        <v>5052.9016000000001</v>
      </c>
      <c r="M104" s="234"/>
      <c r="N104" s="234"/>
      <c r="O104" s="234"/>
    </row>
    <row r="105" spans="1:15" ht="22.5" customHeight="1" x14ac:dyDescent="0.25">
      <c r="B105" s="6"/>
      <c r="F105" s="11">
        <f t="shared" ref="F105:L105" si="20">SUM(F104:F104)</f>
        <v>5494.5</v>
      </c>
      <c r="G105" s="11">
        <f t="shared" si="20"/>
        <v>441.59839999999997</v>
      </c>
      <c r="H105" s="11">
        <f t="shared" si="20"/>
        <v>0</v>
      </c>
      <c r="I105" s="36">
        <f t="shared" si="20"/>
        <v>0</v>
      </c>
      <c r="J105" s="11">
        <f t="shared" si="20"/>
        <v>0</v>
      </c>
      <c r="K105" s="11">
        <f t="shared" si="20"/>
        <v>0</v>
      </c>
      <c r="L105" s="36">
        <f t="shared" si="20"/>
        <v>5052.9016000000001</v>
      </c>
      <c r="M105" s="246"/>
      <c r="N105" s="246"/>
      <c r="O105" s="246"/>
    </row>
    <row r="106" spans="1:15" ht="22.5" customHeight="1" x14ac:dyDescent="0.25">
      <c r="B106" s="6"/>
      <c r="D106" s="13" t="s">
        <v>331</v>
      </c>
      <c r="F106" s="11"/>
      <c r="G106" s="11"/>
      <c r="H106" s="11"/>
      <c r="I106" s="36"/>
      <c r="J106" s="11"/>
      <c r="K106" s="11"/>
      <c r="L106" s="36"/>
      <c r="M106" s="24"/>
      <c r="N106" s="24"/>
      <c r="O106" s="24"/>
    </row>
    <row r="107" spans="1:15" ht="31.5" customHeight="1" x14ac:dyDescent="0.25">
      <c r="B107" s="6" t="s">
        <v>22</v>
      </c>
      <c r="C107" s="166">
        <v>39</v>
      </c>
      <c r="D107" t="s">
        <v>14</v>
      </c>
      <c r="E107" t="s">
        <v>224</v>
      </c>
      <c r="F107" s="35">
        <v>5494.5</v>
      </c>
      <c r="G107" s="15">
        <f>(F107-(LOOKUP(F107,ISR!$A$6:$B$17,ISR!$A$6:$A$17)))*(LOOKUP(F107,ISR!$A$6:$B$17,ISR!$D$6:$D$17))+(LOOKUP(F107,ISR!$A$6:$B$17,ISR!$C$6:$C$17))</f>
        <v>441.59839999999997</v>
      </c>
      <c r="H107" s="15">
        <v>0</v>
      </c>
      <c r="I107" s="35">
        <v>0</v>
      </c>
      <c r="J107" s="15"/>
      <c r="K107" s="15">
        <v>0</v>
      </c>
      <c r="L107" s="35">
        <f>F107-G107-I107-J107-K107+H107</f>
        <v>5052.9016000000001</v>
      </c>
      <c r="M107" s="234"/>
      <c r="N107" s="234"/>
      <c r="O107" s="234"/>
    </row>
    <row r="108" spans="1:15" ht="24.75" customHeight="1" x14ac:dyDescent="0.25">
      <c r="B108" s="6"/>
      <c r="F108" s="11">
        <f t="shared" ref="F108:L108" si="21">SUM(F107:F107)</f>
        <v>5494.5</v>
      </c>
      <c r="G108" s="11">
        <f t="shared" si="21"/>
        <v>441.59839999999997</v>
      </c>
      <c r="H108" s="11">
        <f>SUM(H107:H107)</f>
        <v>0</v>
      </c>
      <c r="I108" s="36">
        <f t="shared" si="21"/>
        <v>0</v>
      </c>
      <c r="J108" s="11">
        <f t="shared" si="21"/>
        <v>0</v>
      </c>
      <c r="K108" s="11">
        <f t="shared" si="21"/>
        <v>0</v>
      </c>
      <c r="L108" s="36">
        <f t="shared" si="21"/>
        <v>5052.9016000000001</v>
      </c>
      <c r="M108" s="24"/>
      <c r="N108" s="24"/>
      <c r="O108" s="24"/>
    </row>
    <row r="109" spans="1:15" ht="22.5" customHeight="1" x14ac:dyDescent="0.3">
      <c r="B109" s="6"/>
      <c r="D109" s="110" t="s">
        <v>0</v>
      </c>
      <c r="E109" s="111"/>
      <c r="F109" s="36"/>
      <c r="G109" s="11"/>
      <c r="H109" s="11"/>
      <c r="I109" s="36"/>
      <c r="J109" s="11"/>
      <c r="K109" s="11"/>
      <c r="L109" s="11"/>
      <c r="M109" s="24"/>
      <c r="N109" s="24"/>
      <c r="O109" s="24"/>
    </row>
    <row r="110" spans="1:15" ht="27.75" customHeight="1" x14ac:dyDescent="0.3">
      <c r="B110" s="6"/>
      <c r="D110" s="159" t="s">
        <v>518</v>
      </c>
      <c r="E110" s="159"/>
      <c r="F110" s="36"/>
      <c r="G110" s="11"/>
      <c r="H110" s="11"/>
      <c r="I110" s="36"/>
      <c r="J110" s="11"/>
      <c r="K110" s="250" t="s">
        <v>517</v>
      </c>
      <c r="L110" s="250"/>
      <c r="M110" s="24"/>
      <c r="N110" s="24"/>
      <c r="O110" s="24"/>
    </row>
    <row r="111" spans="1:15" ht="30" customHeight="1" x14ac:dyDescent="0.25">
      <c r="B111" s="6"/>
      <c r="E111" s="1" t="s">
        <v>1</v>
      </c>
      <c r="F111" s="1" t="s">
        <v>3</v>
      </c>
      <c r="G111" s="1" t="s">
        <v>5</v>
      </c>
      <c r="H111" s="68" t="s">
        <v>30</v>
      </c>
      <c r="I111" s="68" t="s">
        <v>117</v>
      </c>
      <c r="J111" s="68" t="s">
        <v>11</v>
      </c>
      <c r="K111" s="68" t="s">
        <v>117</v>
      </c>
      <c r="L111" s="1" t="s">
        <v>12</v>
      </c>
      <c r="M111" s="24"/>
      <c r="N111" s="24"/>
      <c r="O111" s="24"/>
    </row>
    <row r="112" spans="1:15" ht="22.5" customHeight="1" x14ac:dyDescent="0.25">
      <c r="B112" s="6"/>
      <c r="D112" s="13" t="s">
        <v>228</v>
      </c>
      <c r="F112" s="11"/>
      <c r="G112" s="11"/>
      <c r="H112" s="11"/>
      <c r="I112" s="36"/>
      <c r="J112" s="11"/>
      <c r="K112" s="11"/>
      <c r="L112" s="36"/>
      <c r="M112" s="24"/>
      <c r="N112" s="24"/>
      <c r="O112" s="24"/>
    </row>
    <row r="113" spans="1:15" ht="24" customHeight="1" x14ac:dyDescent="0.25">
      <c r="A113" s="209" t="s">
        <v>274</v>
      </c>
      <c r="B113" s="6" t="s">
        <v>22</v>
      </c>
      <c r="C113" s="166">
        <v>40</v>
      </c>
      <c r="D113" t="s">
        <v>14</v>
      </c>
      <c r="E113" t="s">
        <v>338</v>
      </c>
      <c r="F113" s="35">
        <v>5494.5</v>
      </c>
      <c r="G113" s="15">
        <f>(F113-(LOOKUP(F113,ISR!$A$6:$B$17,ISR!$A$6:$A$17)))*(LOOKUP(F113,ISR!$A$6:$B$17,ISR!$D$6:$D$17))+(LOOKUP(F113,ISR!$A$6:$B$17,ISR!$C$6:$C$17))</f>
        <v>441.59839999999997</v>
      </c>
      <c r="H113" s="15">
        <v>0</v>
      </c>
      <c r="I113" s="35">
        <v>0</v>
      </c>
      <c r="J113" s="15">
        <v>0</v>
      </c>
      <c r="K113" s="15">
        <v>0</v>
      </c>
      <c r="L113" s="35">
        <f>F113-G113-I113-J113-K113+H113</f>
        <v>5052.9016000000001</v>
      </c>
      <c r="M113" s="234"/>
      <c r="N113" s="234"/>
      <c r="O113" s="234"/>
    </row>
    <row r="114" spans="1:15" ht="24" customHeight="1" x14ac:dyDescent="0.25">
      <c r="B114" s="6"/>
      <c r="F114" s="11">
        <f t="shared" ref="F114:L114" si="22">SUM(F113:F113)</f>
        <v>5494.5</v>
      </c>
      <c r="G114" s="11">
        <f t="shared" si="22"/>
        <v>441.59839999999997</v>
      </c>
      <c r="H114" s="11">
        <f t="shared" si="22"/>
        <v>0</v>
      </c>
      <c r="I114" s="36">
        <f t="shared" si="22"/>
        <v>0</v>
      </c>
      <c r="J114" s="11">
        <f t="shared" si="22"/>
        <v>0</v>
      </c>
      <c r="K114" s="11">
        <f t="shared" si="22"/>
        <v>0</v>
      </c>
      <c r="L114" s="36">
        <f t="shared" si="22"/>
        <v>5052.9016000000001</v>
      </c>
      <c r="M114" s="246"/>
      <c r="N114" s="246"/>
      <c r="O114" s="246"/>
    </row>
    <row r="115" spans="1:15" ht="16.5" customHeight="1" x14ac:dyDescent="0.25">
      <c r="B115" s="6"/>
      <c r="D115" s="13" t="s">
        <v>337</v>
      </c>
      <c r="F115" s="11"/>
      <c r="G115" s="11"/>
      <c r="H115" s="11"/>
      <c r="I115" s="36"/>
      <c r="J115" s="11"/>
      <c r="K115" s="11"/>
      <c r="L115" s="36"/>
      <c r="M115" s="24"/>
      <c r="N115" s="24"/>
      <c r="O115" s="24"/>
    </row>
    <row r="116" spans="1:15" ht="24" customHeight="1" x14ac:dyDescent="0.25">
      <c r="B116" s="6" t="s">
        <v>22</v>
      </c>
      <c r="C116" s="166">
        <v>41</v>
      </c>
      <c r="D116" t="s">
        <v>14</v>
      </c>
      <c r="E116" t="s">
        <v>227</v>
      </c>
      <c r="F116" s="35">
        <v>5494.5</v>
      </c>
      <c r="G116" s="35">
        <f>(F116-(LOOKUP(F116,ISR!$A$6:$B$17,ISR!$A$6:$A$17)))*(LOOKUP(F116,ISR!$A$6:$B$17,ISR!$D$6:$D$17))+(LOOKUP(F116,ISR!$A$6:$B$17,ISR!$C$6:$C$17))</f>
        <v>441.59839999999997</v>
      </c>
      <c r="H116" s="35">
        <v>0</v>
      </c>
      <c r="I116" s="35">
        <v>0</v>
      </c>
      <c r="J116" s="35">
        <v>0</v>
      </c>
      <c r="K116" s="35">
        <v>0</v>
      </c>
      <c r="L116" s="35">
        <f>F116-G116-I116-J116-K116+H116</f>
        <v>5052.9016000000001</v>
      </c>
      <c r="M116" s="234"/>
      <c r="N116" s="234"/>
      <c r="O116" s="234"/>
    </row>
    <row r="117" spans="1:15" ht="24" customHeight="1" x14ac:dyDescent="0.25">
      <c r="B117" s="6"/>
      <c r="F117" s="11">
        <f t="shared" ref="F117:L117" si="23">SUM(F116:F116)</f>
        <v>5494.5</v>
      </c>
      <c r="G117" s="11">
        <f t="shared" si="23"/>
        <v>441.59839999999997</v>
      </c>
      <c r="H117" s="11">
        <f t="shared" si="23"/>
        <v>0</v>
      </c>
      <c r="I117" s="36">
        <f t="shared" si="23"/>
        <v>0</v>
      </c>
      <c r="J117" s="11">
        <f t="shared" si="23"/>
        <v>0</v>
      </c>
      <c r="K117" s="11">
        <f t="shared" si="23"/>
        <v>0</v>
      </c>
      <c r="L117" s="36">
        <f t="shared" si="23"/>
        <v>5052.9016000000001</v>
      </c>
      <c r="M117" s="246"/>
      <c r="N117" s="246"/>
      <c r="O117" s="246"/>
    </row>
    <row r="118" spans="1:15" ht="24" customHeight="1" x14ac:dyDescent="0.25">
      <c r="B118" s="6"/>
      <c r="D118" s="13" t="s">
        <v>192</v>
      </c>
      <c r="F118" s="11"/>
      <c r="G118" s="11"/>
      <c r="H118" s="11"/>
      <c r="I118" s="36"/>
      <c r="J118" s="11"/>
      <c r="K118" s="11"/>
      <c r="L118" s="36"/>
      <c r="M118" s="24"/>
      <c r="N118" s="24"/>
      <c r="O118" s="24"/>
    </row>
    <row r="119" spans="1:15" ht="24" customHeight="1" x14ac:dyDescent="0.25">
      <c r="B119" s="6" t="s">
        <v>22</v>
      </c>
      <c r="C119" s="166">
        <v>42</v>
      </c>
      <c r="D119" t="s">
        <v>14</v>
      </c>
      <c r="E119" t="s">
        <v>457</v>
      </c>
      <c r="F119" s="172">
        <v>6156</v>
      </c>
      <c r="G119" s="35">
        <f>(F119-(LOOKUP(F119,ISR!$A$6:$B$17,ISR!$A$6:$A$17)))*(LOOKUP(F119,ISR!$A$6:$B$17,ISR!$D$6:$D$17))+(LOOKUP(F119,ISR!$A$6:$B$17,ISR!$C$6:$C$17))</f>
        <v>547.4384</v>
      </c>
      <c r="H119" s="172"/>
      <c r="I119" s="163"/>
      <c r="J119" s="172"/>
      <c r="K119" s="172"/>
      <c r="L119" s="163">
        <f>F119-G119-H119-I119-J119-K119</f>
        <v>5608.5616</v>
      </c>
      <c r="M119" s="74"/>
      <c r="N119" s="74"/>
      <c r="O119" s="24"/>
    </row>
    <row r="120" spans="1:15" s="16" customFormat="1" ht="24" customHeight="1" x14ac:dyDescent="0.25">
      <c r="A120" s="13"/>
      <c r="B120" s="213"/>
      <c r="C120" s="166"/>
      <c r="F120" s="11">
        <f t="shared" ref="F120:L120" si="24">+F119</f>
        <v>6156</v>
      </c>
      <c r="G120" s="11">
        <f t="shared" si="24"/>
        <v>547.4384</v>
      </c>
      <c r="H120" s="11">
        <f t="shared" si="24"/>
        <v>0</v>
      </c>
      <c r="I120" s="36">
        <f t="shared" si="24"/>
        <v>0</v>
      </c>
      <c r="J120" s="11">
        <f t="shared" si="24"/>
        <v>0</v>
      </c>
      <c r="K120" s="11">
        <f t="shared" si="24"/>
        <v>0</v>
      </c>
      <c r="L120" s="36">
        <f t="shared" si="24"/>
        <v>5608.5616</v>
      </c>
      <c r="M120" s="13"/>
      <c r="N120" s="13"/>
      <c r="O120" s="13"/>
    </row>
    <row r="121" spans="1:15" ht="20.25" customHeight="1" x14ac:dyDescent="0.25">
      <c r="B121" s="6"/>
      <c r="D121" s="13" t="s">
        <v>250</v>
      </c>
      <c r="F121" s="11"/>
      <c r="G121" s="11"/>
      <c r="H121" s="11"/>
      <c r="I121" s="36"/>
      <c r="J121" s="11"/>
      <c r="K121" s="11"/>
      <c r="L121" s="36"/>
      <c r="M121" s="24"/>
      <c r="N121" s="24"/>
      <c r="O121" s="24"/>
    </row>
    <row r="122" spans="1:15" ht="24" customHeight="1" x14ac:dyDescent="0.25">
      <c r="B122" s="6" t="s">
        <v>22</v>
      </c>
      <c r="C122" s="166">
        <v>43</v>
      </c>
      <c r="D122" t="s">
        <v>14</v>
      </c>
      <c r="E122" t="s">
        <v>229</v>
      </c>
      <c r="F122" s="35">
        <v>5494.5</v>
      </c>
      <c r="G122" s="15">
        <f>(F122-(LOOKUP(F122,ISR!$A$6:$B$17,ISR!$A$6:$A$17)))*(LOOKUP(F122,ISR!$A$6:$B$17,ISR!$D$6:$D$17))+(LOOKUP(F122,ISR!$A$6:$B$17,ISR!$C$6:$C$17))</f>
        <v>441.59839999999997</v>
      </c>
      <c r="H122" s="15">
        <v>0</v>
      </c>
      <c r="I122" s="35">
        <v>0</v>
      </c>
      <c r="J122" s="35">
        <v>0</v>
      </c>
      <c r="K122" s="15">
        <v>0</v>
      </c>
      <c r="L122" s="35">
        <f>F122-G122-I122-J122-K122+H122</f>
        <v>5052.9016000000001</v>
      </c>
      <c r="M122" s="234"/>
      <c r="N122" s="234"/>
      <c r="O122" s="234"/>
    </row>
    <row r="123" spans="1:15" ht="17.25" customHeight="1" x14ac:dyDescent="0.25">
      <c r="B123" s="6"/>
      <c r="F123" s="11">
        <f t="shared" ref="F123:K123" si="25">SUM(F122:F122)</f>
        <v>5494.5</v>
      </c>
      <c r="G123" s="11">
        <f t="shared" si="25"/>
        <v>441.59839999999997</v>
      </c>
      <c r="H123" s="11">
        <f t="shared" si="25"/>
        <v>0</v>
      </c>
      <c r="I123" s="36">
        <f t="shared" si="25"/>
        <v>0</v>
      </c>
      <c r="J123" s="11">
        <f t="shared" si="25"/>
        <v>0</v>
      </c>
      <c r="K123" s="11">
        <f t="shared" si="25"/>
        <v>0</v>
      </c>
      <c r="L123" s="36">
        <f>SUM(L122:L122)</f>
        <v>5052.9016000000001</v>
      </c>
      <c r="M123" s="246"/>
      <c r="N123" s="246"/>
      <c r="O123" s="246"/>
    </row>
    <row r="124" spans="1:15" ht="20.25" customHeight="1" x14ac:dyDescent="0.25">
      <c r="B124" s="6"/>
      <c r="D124" s="13" t="s">
        <v>230</v>
      </c>
      <c r="F124" s="11"/>
      <c r="G124" s="11"/>
      <c r="H124" s="11"/>
      <c r="I124" s="36"/>
      <c r="J124" s="11"/>
      <c r="K124" s="11"/>
      <c r="L124" s="36"/>
      <c r="M124" s="24"/>
      <c r="N124" s="24"/>
      <c r="O124" s="24"/>
    </row>
    <row r="125" spans="1:15" ht="25.5" customHeight="1" x14ac:dyDescent="0.25">
      <c r="A125" s="13" t="s">
        <v>162</v>
      </c>
      <c r="B125" s="6" t="s">
        <v>22</v>
      </c>
      <c r="C125" s="166">
        <v>44</v>
      </c>
      <c r="D125" t="s">
        <v>14</v>
      </c>
      <c r="E125" t="s">
        <v>231</v>
      </c>
      <c r="F125" s="35">
        <v>5494.5</v>
      </c>
      <c r="G125" s="15">
        <f>(F125-(LOOKUP(F125,ISR!$A$6:$B$17,ISR!$A$6:$A$17)))*(LOOKUP(F125,ISR!$A$6:$B$17,ISR!$D$6:$D$17))+(LOOKUP(F125,ISR!$A$6:$B$17,ISR!$C$6:$C$17))</f>
        <v>441.59839999999997</v>
      </c>
      <c r="H125" s="15">
        <v>0</v>
      </c>
      <c r="I125" s="35">
        <v>0</v>
      </c>
      <c r="J125" s="15">
        <f>F125/15*1</f>
        <v>366.3</v>
      </c>
      <c r="K125" s="15">
        <v>0</v>
      </c>
      <c r="L125" s="35">
        <f>F125-G125-I125-J125-K125+H125</f>
        <v>4686.6016</v>
      </c>
      <c r="M125" s="234"/>
      <c r="N125" s="234"/>
      <c r="O125" s="234"/>
    </row>
    <row r="126" spans="1:15" ht="12.75" customHeight="1" x14ac:dyDescent="0.25">
      <c r="B126" s="6"/>
      <c r="F126" s="11">
        <f t="shared" ref="F126:K126" si="26">SUM(F125:F125)</f>
        <v>5494.5</v>
      </c>
      <c r="G126" s="11">
        <f t="shared" si="26"/>
        <v>441.59839999999997</v>
      </c>
      <c r="H126" s="11">
        <f t="shared" si="26"/>
        <v>0</v>
      </c>
      <c r="I126" s="36">
        <f t="shared" si="26"/>
        <v>0</v>
      </c>
      <c r="J126" s="11">
        <f t="shared" si="26"/>
        <v>366.3</v>
      </c>
      <c r="K126" s="11">
        <f t="shared" si="26"/>
        <v>0</v>
      </c>
      <c r="L126" s="36">
        <f>SUM(L125:L125)</f>
        <v>4686.6016</v>
      </c>
      <c r="M126" s="246"/>
      <c r="N126" s="246"/>
      <c r="O126" s="246"/>
    </row>
    <row r="127" spans="1:15" ht="20.25" customHeight="1" x14ac:dyDescent="0.25">
      <c r="B127" s="6"/>
      <c r="D127" s="13" t="s">
        <v>232</v>
      </c>
      <c r="F127" s="11"/>
      <c r="G127" s="11"/>
      <c r="H127" s="11"/>
      <c r="I127" s="36"/>
      <c r="J127" s="11"/>
      <c r="K127" s="11"/>
      <c r="L127" s="11"/>
      <c r="M127" s="24"/>
      <c r="N127" s="24"/>
      <c r="O127" s="24"/>
    </row>
    <row r="128" spans="1:15" x14ac:dyDescent="0.25">
      <c r="B128" s="6" t="s">
        <v>22</v>
      </c>
      <c r="C128" s="166">
        <v>45</v>
      </c>
      <c r="D128" t="s">
        <v>14</v>
      </c>
      <c r="E128" t="s">
        <v>233</v>
      </c>
      <c r="F128" s="35">
        <v>0</v>
      </c>
      <c r="G128" s="15">
        <v>0</v>
      </c>
      <c r="H128" s="15">
        <v>0</v>
      </c>
      <c r="I128" s="35">
        <v>0</v>
      </c>
      <c r="J128" s="15">
        <v>0</v>
      </c>
      <c r="K128" s="15">
        <v>0</v>
      </c>
      <c r="L128" s="35">
        <f>F128-G128-I128-J128-K128+H128</f>
        <v>0</v>
      </c>
      <c r="M128" s="234"/>
      <c r="N128" s="234"/>
      <c r="O128" s="234"/>
    </row>
    <row r="129" spans="1:21" ht="18.75" customHeight="1" x14ac:dyDescent="0.25">
      <c r="B129" s="6"/>
      <c r="F129" s="25"/>
      <c r="G129" s="10"/>
      <c r="H129" s="10"/>
      <c r="I129" s="25"/>
      <c r="J129" s="10"/>
      <c r="K129" s="10"/>
      <c r="L129" s="25"/>
      <c r="M129" s="24"/>
      <c r="N129" s="24"/>
      <c r="O129" s="24"/>
    </row>
    <row r="130" spans="1:21" ht="25.5" customHeight="1" x14ac:dyDescent="0.25">
      <c r="B130" s="6"/>
      <c r="D130" s="13" t="s">
        <v>247</v>
      </c>
      <c r="F130" s="11"/>
      <c r="G130" s="11"/>
      <c r="H130" s="11"/>
      <c r="I130" s="36"/>
      <c r="J130" s="11"/>
      <c r="K130" s="11"/>
      <c r="L130" s="11"/>
      <c r="M130" s="24"/>
      <c r="N130" s="24"/>
      <c r="O130" s="24"/>
    </row>
    <row r="131" spans="1:21" ht="32.25" customHeight="1" x14ac:dyDescent="0.25">
      <c r="B131" s="6" t="s">
        <v>22</v>
      </c>
      <c r="C131" s="166">
        <v>46</v>
      </c>
      <c r="D131" t="s">
        <v>14</v>
      </c>
      <c r="E131" t="s">
        <v>248</v>
      </c>
      <c r="F131" s="35">
        <v>6156</v>
      </c>
      <c r="G131" s="15">
        <f>(F131-(LOOKUP(F131,ISR!$A$6:$B$17,ISR!$A$6:$A$17)))*(LOOKUP(F131,ISR!$A$6:$B$17,ISR!$D$6:$D$17))+(LOOKUP(F131,ISR!$A$6:$B$17,ISR!$C$6:$C$17))</f>
        <v>547.4384</v>
      </c>
      <c r="H131" s="15"/>
      <c r="I131" s="35"/>
      <c r="J131" s="15">
        <v>0</v>
      </c>
      <c r="K131" s="15">
        <v>0</v>
      </c>
      <c r="L131" s="35">
        <f>F131-G131-I131-J131-K131+H131</f>
        <v>5608.5616</v>
      </c>
      <c r="M131" s="234"/>
      <c r="N131" s="234"/>
      <c r="O131" s="234"/>
      <c r="P131" t="s">
        <v>402</v>
      </c>
    </row>
    <row r="132" spans="1:21" ht="18.75" customHeight="1" x14ac:dyDescent="0.25">
      <c r="B132" s="6"/>
      <c r="D132" s="6"/>
      <c r="E132" s="6"/>
      <c r="F132" s="11">
        <f>SUM(F131)</f>
        <v>6156</v>
      </c>
      <c r="G132" s="11">
        <f t="shared" ref="G132:L132" si="27">SUM(G131:G131)</f>
        <v>547.4384</v>
      </c>
      <c r="H132" s="11">
        <f t="shared" si="27"/>
        <v>0</v>
      </c>
      <c r="I132" s="36">
        <f t="shared" si="27"/>
        <v>0</v>
      </c>
      <c r="J132" s="11">
        <f t="shared" si="27"/>
        <v>0</v>
      </c>
      <c r="K132" s="11">
        <f t="shared" si="27"/>
        <v>0</v>
      </c>
      <c r="L132" s="11">
        <f t="shared" si="27"/>
        <v>5608.5616</v>
      </c>
      <c r="M132" s="244"/>
      <c r="N132" s="244"/>
      <c r="O132" s="244"/>
    </row>
    <row r="133" spans="1:21" ht="27" customHeight="1" x14ac:dyDescent="0.3">
      <c r="A133" s="13"/>
      <c r="B133" s="13"/>
      <c r="C133"/>
      <c r="D133" s="13" t="s">
        <v>407</v>
      </c>
      <c r="F133" s="78"/>
      <c r="G133" s="23"/>
      <c r="H133" s="23"/>
      <c r="I133" s="78"/>
      <c r="J133" s="22"/>
      <c r="K133" s="137"/>
      <c r="L133" s="55"/>
      <c r="M133" s="55"/>
      <c r="N133" s="4"/>
    </row>
    <row r="134" spans="1:21" ht="27" customHeight="1" x14ac:dyDescent="0.3">
      <c r="A134" s="13"/>
      <c r="B134" s="6" t="s">
        <v>22</v>
      </c>
      <c r="C134" s="166">
        <v>47</v>
      </c>
      <c r="D134" t="s">
        <v>14</v>
      </c>
      <c r="E134" t="s">
        <v>408</v>
      </c>
      <c r="F134" s="35">
        <v>5494.5</v>
      </c>
      <c r="G134" s="15">
        <f>(F134-(LOOKUP(F134,ISR!$A$6:$B$17,ISR!$A$6:$A$17)))*(LOOKUP(F134,ISR!$A$6:$B$17,ISR!$D$6:$D$17))+(LOOKUP(F134,ISR!$A$6:$B$17,ISR!$C$6:$C$17))</f>
        <v>441.59839999999997</v>
      </c>
      <c r="H134" s="158"/>
      <c r="I134" s="157"/>
      <c r="J134" s="155"/>
      <c r="K134" s="141"/>
      <c r="L134" s="214">
        <f>F134-G134+H134-I134-J134-K134</f>
        <v>5052.9016000000001</v>
      </c>
      <c r="M134" s="214"/>
      <c r="N134" s="15"/>
    </row>
    <row r="135" spans="1:21" ht="22.5" customHeight="1" x14ac:dyDescent="0.3">
      <c r="A135" s="13"/>
      <c r="B135" s="13"/>
      <c r="C135"/>
      <c r="F135" s="78">
        <f t="shared" ref="F135:L135" si="28">+F134</f>
        <v>5494.5</v>
      </c>
      <c r="G135" s="23">
        <f t="shared" si="28"/>
        <v>441.59839999999997</v>
      </c>
      <c r="H135" s="23">
        <f t="shared" si="28"/>
        <v>0</v>
      </c>
      <c r="I135" s="78">
        <f t="shared" si="28"/>
        <v>0</v>
      </c>
      <c r="J135" s="22">
        <f t="shared" si="28"/>
        <v>0</v>
      </c>
      <c r="K135" s="130">
        <f t="shared" si="28"/>
        <v>0</v>
      </c>
      <c r="L135" s="51">
        <f t="shared" si="28"/>
        <v>5052.9016000000001</v>
      </c>
      <c r="M135" s="55"/>
      <c r="N135" s="4"/>
    </row>
    <row r="136" spans="1:21" ht="18.75" customHeight="1" x14ac:dyDescent="0.25">
      <c r="B136" s="6"/>
      <c r="D136" s="6"/>
      <c r="E136" s="6"/>
      <c r="F136" s="11"/>
      <c r="G136" s="11"/>
      <c r="H136" s="11"/>
      <c r="I136" s="36"/>
      <c r="J136" s="11"/>
      <c r="K136" s="11"/>
      <c r="L136" s="11"/>
      <c r="M136" s="37"/>
      <c r="N136" s="37"/>
      <c r="O136" s="37"/>
    </row>
    <row r="137" spans="1:21" ht="18.75" customHeight="1" x14ac:dyDescent="0.25">
      <c r="B137" s="6"/>
      <c r="D137" s="6"/>
      <c r="E137" s="6"/>
      <c r="F137" s="11"/>
      <c r="G137" s="11"/>
      <c r="H137" s="11"/>
      <c r="I137" s="36"/>
      <c r="J137" s="11"/>
      <c r="K137" s="11"/>
      <c r="L137" s="11"/>
      <c r="M137" s="37"/>
      <c r="N137" s="37"/>
      <c r="O137" s="37"/>
    </row>
    <row r="138" spans="1:21" ht="18.75" customHeight="1" x14ac:dyDescent="0.25">
      <c r="B138" s="6"/>
      <c r="D138" s="6"/>
      <c r="E138" s="6"/>
      <c r="F138" s="11"/>
      <c r="G138" s="11"/>
      <c r="H138" s="11"/>
      <c r="I138" s="36"/>
      <c r="J138" s="11"/>
      <c r="K138" s="11"/>
      <c r="L138" s="11"/>
      <c r="M138" s="37"/>
      <c r="N138" s="37"/>
      <c r="O138" s="37"/>
    </row>
    <row r="139" spans="1:21" ht="30" customHeight="1" x14ac:dyDescent="0.25">
      <c r="B139" s="6"/>
      <c r="D139" s="6"/>
      <c r="E139" s="6"/>
      <c r="F139" s="21"/>
      <c r="G139" s="21"/>
      <c r="H139" s="21"/>
      <c r="I139" s="149"/>
      <c r="J139" s="21"/>
      <c r="K139" s="21"/>
      <c r="L139" s="21"/>
      <c r="M139" s="37"/>
      <c r="N139" s="37"/>
      <c r="O139" s="37"/>
    </row>
    <row r="140" spans="1:21" ht="30" customHeight="1" x14ac:dyDescent="0.25">
      <c r="B140" s="6"/>
      <c r="D140" s="20" t="s">
        <v>87</v>
      </c>
      <c r="E140" s="6"/>
      <c r="F140" s="76">
        <f>F11+F23+F32+F35+F39+F43+F46+F49+F57+F60+F63+F66+F69+F73+F76+F79+F87+F90+F93+F96+F99+F102+F105+F108+F114+F117+F123+F126+F132+F120+F135</f>
        <v>410063.04000000004</v>
      </c>
      <c r="G140" s="76">
        <f>G11+G23+G32+G35+G39+G43+G46+G49+G57+G60+G63+G66+G69+G73+G76+G79+G87+G90+G93+G96+G99+G102+G105+G108+G114+G117+G123+G126+G132+G120+G135</f>
        <v>52613.660640000038</v>
      </c>
      <c r="H140" s="76">
        <f>H96</f>
        <v>0</v>
      </c>
      <c r="I140" s="76">
        <f>+I11+I23+I32+I35+I39+I43+I46+I49+I57+I60+I63+I66+I69+I73+I76+I79+I87+I90+I93+I96+I99+I102+I105+I108+I114+I117+I123+I126+I129+I132+I120</f>
        <v>0</v>
      </c>
      <c r="J140" s="76">
        <f>+J11+J23+J32+J35+J39+J43+J46+J49+J57+J60+J63+J66+J69+J73+J76+J79+J87+J90+J93+J96+J99+J102+J105+J108+J114+J117+J123+J126+J129+J132+J120</f>
        <v>366.3</v>
      </c>
      <c r="K140" s="76">
        <v>0</v>
      </c>
      <c r="L140" s="76">
        <f>L11+L23+L32+L35+L39+L43+L46+L49+L57+L60+L63+L66+L69+L73+L76+L79+L87+L90+L93+L96+L99+L102+L105+L108+L114+L117+L123+L126+L132+L120+L135</f>
        <v>357083.07935999986</v>
      </c>
      <c r="M140" s="6">
        <v>1600</v>
      </c>
      <c r="N140" s="19"/>
      <c r="O140" s="6"/>
    </row>
    <row r="141" spans="1:21" ht="30" customHeight="1" x14ac:dyDescent="0.25">
      <c r="B141" s="6"/>
      <c r="D141" s="8"/>
      <c r="E141" s="6"/>
      <c r="F141" s="196"/>
      <c r="G141" s="160"/>
      <c r="H141" s="160"/>
      <c r="I141" s="160"/>
      <c r="J141" s="160"/>
      <c r="K141" s="160"/>
      <c r="L141" s="37"/>
      <c r="M141" s="19"/>
      <c r="N141" s="6"/>
      <c r="O141" s="6"/>
    </row>
    <row r="142" spans="1:21" ht="30" customHeight="1" x14ac:dyDescent="0.25">
      <c r="B142" s="6"/>
      <c r="D142" s="13" t="s">
        <v>236</v>
      </c>
      <c r="E142" s="16"/>
      <c r="F142" s="13"/>
      <c r="G142" s="13"/>
      <c r="H142" s="16"/>
      <c r="I142" s="13" t="s">
        <v>235</v>
      </c>
      <c r="J142" s="13"/>
      <c r="K142" s="13"/>
      <c r="L142" s="197"/>
      <c r="M142" s="19"/>
      <c r="N142" s="6"/>
      <c r="O142" s="6"/>
      <c r="P142" s="247"/>
      <c r="Q142" s="247"/>
      <c r="R142" s="247"/>
      <c r="S142" s="247"/>
      <c r="T142" s="247"/>
      <c r="U142" s="247"/>
    </row>
    <row r="143" spans="1:21" ht="20.25" customHeight="1" x14ac:dyDescent="0.25">
      <c r="B143" s="6"/>
      <c r="D143" s="13" t="s">
        <v>18</v>
      </c>
      <c r="E143" s="16"/>
      <c r="F143" s="197"/>
      <c r="G143" s="13"/>
      <c r="H143" s="16"/>
      <c r="I143" s="13" t="s">
        <v>19</v>
      </c>
      <c r="J143" s="13"/>
      <c r="K143" s="13"/>
      <c r="L143" s="197"/>
      <c r="M143" s="6"/>
      <c r="N143" s="6"/>
      <c r="O143" s="6"/>
      <c r="P143" s="247"/>
      <c r="Q143" s="247"/>
      <c r="R143" s="247"/>
      <c r="S143" s="247"/>
      <c r="T143" s="247"/>
      <c r="U143" s="247"/>
    </row>
    <row r="144" spans="1:21" ht="30" customHeight="1" x14ac:dyDescent="0.25">
      <c r="B144" s="6"/>
      <c r="L144" s="4">
        <f>L140-L142</f>
        <v>357083.07935999986</v>
      </c>
      <c r="M144" s="19">
        <f>L140-L113-L34-L65</f>
        <v>338853.95288799988</v>
      </c>
      <c r="N144" s="6"/>
      <c r="O144" s="6"/>
    </row>
    <row r="145" spans="2:15" x14ac:dyDescent="0.25">
      <c r="L145" s="4"/>
      <c r="O145" s="3"/>
    </row>
    <row r="146" spans="2:15" x14ac:dyDescent="0.25">
      <c r="L146" s="11"/>
    </row>
    <row r="147" spans="2:15" x14ac:dyDescent="0.25">
      <c r="G147" s="4"/>
    </row>
    <row r="148" spans="2:15" x14ac:dyDescent="0.25">
      <c r="G148" s="4"/>
      <c r="L148" s="3"/>
    </row>
    <row r="149" spans="2:15" x14ac:dyDescent="0.25">
      <c r="L149" s="17"/>
      <c r="O149" s="3"/>
    </row>
    <row r="150" spans="2:15" x14ac:dyDescent="0.25">
      <c r="L150" s="3"/>
    </row>
    <row r="151" spans="2:15" x14ac:dyDescent="0.25">
      <c r="G151" s="4"/>
      <c r="L151" s="3"/>
    </row>
    <row r="152" spans="2:15" x14ac:dyDescent="0.25">
      <c r="G152" s="4"/>
      <c r="L152" s="3"/>
    </row>
    <row r="153" spans="2:15" x14ac:dyDescent="0.25">
      <c r="B153" s="6"/>
      <c r="D153" s="20"/>
      <c r="E153" s="6"/>
      <c r="F153" s="14"/>
      <c r="G153" s="14"/>
      <c r="H153" s="14"/>
      <c r="I153" s="26"/>
      <c r="J153" s="14"/>
      <c r="K153" s="14"/>
      <c r="L153" s="14"/>
      <c r="M153" s="37"/>
      <c r="N153" s="37"/>
      <c r="O153" s="37"/>
    </row>
    <row r="154" spans="2:15" x14ac:dyDescent="0.25">
      <c r="B154" s="6"/>
      <c r="D154" s="6"/>
      <c r="E154" s="6"/>
      <c r="F154" s="14"/>
      <c r="G154" s="14"/>
      <c r="H154" s="26"/>
      <c r="I154" s="26"/>
      <c r="J154" s="14"/>
      <c r="K154" s="14"/>
      <c r="L154" s="14"/>
      <c r="M154" s="37"/>
      <c r="N154" s="37"/>
      <c r="O154" s="37"/>
    </row>
    <row r="155" spans="2:15" x14ac:dyDescent="0.25">
      <c r="B155" s="6"/>
      <c r="D155" s="6"/>
      <c r="E155" s="6"/>
      <c r="F155" s="100"/>
      <c r="G155" s="100"/>
      <c r="H155" s="100"/>
      <c r="I155" s="150"/>
      <c r="J155" s="100"/>
      <c r="K155" s="100"/>
      <c r="L155" s="100"/>
      <c r="M155" s="245"/>
      <c r="N155" s="245"/>
      <c r="O155" s="245"/>
    </row>
    <row r="156" spans="2:15" x14ac:dyDescent="0.25">
      <c r="H156" s="10"/>
      <c r="I156" s="25"/>
      <c r="J156" s="10"/>
      <c r="K156" s="10"/>
    </row>
    <row r="157" spans="2:15" x14ac:dyDescent="0.25">
      <c r="H157" s="10"/>
      <c r="I157" s="25"/>
      <c r="J157" s="10"/>
      <c r="K157" s="10"/>
    </row>
    <row r="158" spans="2:15" x14ac:dyDescent="0.25">
      <c r="B158" s="6"/>
      <c r="D158" s="6"/>
      <c r="E158" s="6"/>
      <c r="F158" s="6"/>
      <c r="G158" s="6"/>
      <c r="H158" s="7"/>
      <c r="I158" s="148"/>
      <c r="J158" s="7"/>
      <c r="K158" s="7"/>
      <c r="L158" s="6"/>
      <c r="M158" s="6"/>
      <c r="N158" s="6"/>
      <c r="O158" s="6"/>
    </row>
    <row r="159" spans="2:15" ht="30" customHeight="1" x14ac:dyDescent="0.25">
      <c r="B159" s="6"/>
      <c r="D159" s="6"/>
      <c r="E159" s="6"/>
      <c r="F159" s="26"/>
      <c r="G159" s="14"/>
      <c r="H159" s="14"/>
      <c r="I159" s="26"/>
      <c r="J159" s="14"/>
      <c r="K159" s="14"/>
      <c r="L159" s="14"/>
      <c r="M159" s="245"/>
      <c r="N159" s="245"/>
      <c r="O159" s="245"/>
    </row>
    <row r="160" spans="2:15" ht="30" customHeight="1" x14ac:dyDescent="0.25">
      <c r="H160" s="10"/>
      <c r="I160" s="25"/>
      <c r="J160" s="10"/>
      <c r="K160" s="10"/>
    </row>
    <row r="161" spans="2:15" x14ac:dyDescent="0.25">
      <c r="H161" s="10"/>
      <c r="I161" s="25"/>
      <c r="J161" s="10"/>
      <c r="K161" s="10"/>
    </row>
    <row r="162" spans="2:15" x14ac:dyDescent="0.25">
      <c r="H162" s="10"/>
      <c r="I162" s="25"/>
      <c r="J162" s="10"/>
      <c r="K162" s="10"/>
    </row>
    <row r="163" spans="2:15" x14ac:dyDescent="0.25">
      <c r="H163" s="10"/>
      <c r="I163" s="25"/>
      <c r="J163" s="10"/>
      <c r="K163" s="10"/>
    </row>
    <row r="164" spans="2:15" x14ac:dyDescent="0.25">
      <c r="B164" s="6"/>
      <c r="D164" s="6"/>
      <c r="E164" s="6"/>
      <c r="F164" s="26"/>
      <c r="G164" s="14"/>
      <c r="H164" s="14"/>
      <c r="I164" s="26"/>
      <c r="J164" s="14"/>
      <c r="K164" s="14"/>
      <c r="L164" s="14"/>
      <c r="M164" s="245"/>
      <c r="N164" s="245"/>
      <c r="O164" s="245"/>
    </row>
    <row r="165" spans="2:15" x14ac:dyDescent="0.25">
      <c r="H165" s="10"/>
      <c r="I165" s="25"/>
      <c r="J165" s="10"/>
      <c r="K165" s="10"/>
    </row>
    <row r="166" spans="2:15" ht="30" customHeight="1" x14ac:dyDescent="0.25">
      <c r="H166" s="10"/>
      <c r="I166" s="25"/>
      <c r="J166" s="10"/>
      <c r="K166" s="10"/>
    </row>
    <row r="167" spans="2:15" ht="30" customHeight="1" x14ac:dyDescent="0.25">
      <c r="B167" s="6"/>
      <c r="D167" s="6"/>
      <c r="E167" s="6"/>
      <c r="F167" s="26"/>
      <c r="G167" s="14"/>
      <c r="H167" s="14"/>
      <c r="I167" s="26"/>
      <c r="J167" s="14"/>
      <c r="K167" s="14"/>
      <c r="L167" s="14"/>
      <c r="M167" s="245"/>
      <c r="N167" s="245"/>
      <c r="O167" s="245"/>
    </row>
    <row r="168" spans="2:15" x14ac:dyDescent="0.25">
      <c r="H168" s="10"/>
      <c r="I168" s="25"/>
      <c r="J168" s="10"/>
      <c r="K168" s="10"/>
    </row>
    <row r="169" spans="2:15" x14ac:dyDescent="0.25">
      <c r="H169" s="10"/>
      <c r="I169" s="25"/>
      <c r="J169" s="10"/>
      <c r="K169" s="10"/>
    </row>
    <row r="170" spans="2:15" x14ac:dyDescent="0.25">
      <c r="H170" s="10"/>
      <c r="I170" s="25"/>
      <c r="J170" s="10"/>
      <c r="K170" s="10"/>
    </row>
    <row r="171" spans="2:15" x14ac:dyDescent="0.25">
      <c r="H171" s="10"/>
      <c r="I171" s="25"/>
      <c r="J171" s="10"/>
      <c r="K171" s="10"/>
    </row>
    <row r="172" spans="2:15" ht="30" customHeight="1" x14ac:dyDescent="0.25">
      <c r="H172" s="10"/>
      <c r="I172" s="25"/>
      <c r="J172" s="10"/>
      <c r="K172" s="10"/>
    </row>
    <row r="173" spans="2:15" x14ac:dyDescent="0.25">
      <c r="B173" s="6"/>
      <c r="D173" s="20"/>
      <c r="E173" s="6"/>
      <c r="F173" s="26"/>
      <c r="G173" s="14"/>
      <c r="H173" s="14"/>
      <c r="I173" s="26"/>
      <c r="J173" s="14"/>
      <c r="K173" s="14"/>
      <c r="L173" s="14"/>
      <c r="M173" s="245"/>
      <c r="N173" s="245"/>
      <c r="O173" s="245"/>
    </row>
    <row r="174" spans="2:15" x14ac:dyDescent="0.25">
      <c r="B174" s="6"/>
      <c r="D174" s="6"/>
      <c r="E174" s="6"/>
      <c r="G174" s="6"/>
      <c r="H174" s="6"/>
      <c r="I174" s="6"/>
      <c r="J174" s="14"/>
      <c r="K174" s="14"/>
      <c r="L174" s="14"/>
      <c r="M174" s="37"/>
      <c r="N174" s="37"/>
      <c r="O174" s="37"/>
    </row>
    <row r="175" spans="2:15" ht="30" customHeight="1" x14ac:dyDescent="0.25">
      <c r="B175" s="6"/>
      <c r="D175" s="6"/>
      <c r="E175" s="6"/>
      <c r="G175" s="6"/>
      <c r="H175" s="6"/>
      <c r="I175" s="6"/>
      <c r="J175" s="100"/>
      <c r="K175" s="100"/>
      <c r="L175" s="100"/>
      <c r="M175" s="37"/>
      <c r="N175" s="37"/>
      <c r="O175" s="37"/>
    </row>
    <row r="176" spans="2:15" x14ac:dyDescent="0.25">
      <c r="H176"/>
      <c r="I176"/>
      <c r="J176" s="10"/>
      <c r="K176" s="10"/>
    </row>
    <row r="177" spans="2:16" x14ac:dyDescent="0.25">
      <c r="B177" s="6"/>
      <c r="D177" s="6"/>
      <c r="E177" s="6"/>
      <c r="G177" s="6"/>
      <c r="H177" s="6"/>
      <c r="I177" s="6"/>
      <c r="J177" s="14"/>
      <c r="K177" s="14"/>
      <c r="L177" s="14"/>
      <c r="M177" s="245"/>
      <c r="N177" s="245"/>
      <c r="O177" s="245"/>
    </row>
    <row r="178" spans="2:16" x14ac:dyDescent="0.25">
      <c r="H178"/>
      <c r="I178"/>
      <c r="J178" s="10"/>
      <c r="K178" s="10"/>
    </row>
    <row r="179" spans="2:16" x14ac:dyDescent="0.25">
      <c r="H179"/>
      <c r="I179"/>
      <c r="J179" s="10"/>
      <c r="K179" s="10"/>
    </row>
    <row r="180" spans="2:16" x14ac:dyDescent="0.25">
      <c r="B180" s="6"/>
      <c r="D180" s="6"/>
      <c r="E180" s="6"/>
      <c r="G180" s="6"/>
      <c r="H180" s="6"/>
      <c r="I180" s="6"/>
      <c r="J180" s="14"/>
      <c r="K180" s="14"/>
      <c r="L180" s="14"/>
      <c r="M180" s="245"/>
      <c r="N180" s="245"/>
      <c r="O180" s="245"/>
    </row>
    <row r="181" spans="2:16" ht="15" customHeight="1" x14ac:dyDescent="0.25">
      <c r="H181"/>
      <c r="I181"/>
      <c r="J181" s="10"/>
      <c r="K181" s="10"/>
    </row>
    <row r="182" spans="2:16" ht="30" customHeight="1" x14ac:dyDescent="0.25">
      <c r="H182"/>
      <c r="I182"/>
      <c r="J182" s="10"/>
      <c r="K182" s="10"/>
    </row>
    <row r="183" spans="2:16" ht="30" customHeight="1" x14ac:dyDescent="0.25">
      <c r="B183" s="6"/>
      <c r="D183" s="20"/>
      <c r="E183" s="6"/>
      <c r="G183" s="6"/>
      <c r="H183" s="20"/>
      <c r="I183" s="6"/>
      <c r="J183" s="14"/>
      <c r="K183" s="14"/>
      <c r="L183" s="14"/>
      <c r="M183" s="245"/>
      <c r="N183" s="245"/>
      <c r="O183" s="245"/>
    </row>
    <row r="184" spans="2:16" x14ac:dyDescent="0.25">
      <c r="B184" s="6"/>
      <c r="D184" s="6"/>
      <c r="E184" s="6"/>
      <c r="G184" s="6"/>
      <c r="H184" s="6"/>
      <c r="I184" s="6"/>
      <c r="J184" s="14"/>
      <c r="K184" s="14"/>
      <c r="L184" s="26"/>
      <c r="M184" s="245"/>
      <c r="N184" s="245"/>
      <c r="O184" s="245"/>
    </row>
    <row r="185" spans="2:16" ht="30" customHeight="1" x14ac:dyDescent="0.25">
      <c r="H185"/>
      <c r="I185"/>
      <c r="J185" s="10"/>
      <c r="K185" s="10"/>
      <c r="P185" s="12"/>
    </row>
    <row r="186" spans="2:16" x14ac:dyDescent="0.25">
      <c r="H186"/>
      <c r="I186"/>
      <c r="J186" s="10"/>
      <c r="K186" s="10"/>
    </row>
    <row r="187" spans="2:16" x14ac:dyDescent="0.25">
      <c r="B187" s="6"/>
      <c r="D187" s="20"/>
      <c r="E187" s="6"/>
      <c r="G187" s="6"/>
      <c r="H187" s="20"/>
      <c r="I187" s="6"/>
      <c r="J187" s="14"/>
      <c r="K187" s="14"/>
      <c r="L187" s="14"/>
      <c r="M187" s="37"/>
      <c r="N187" s="37"/>
      <c r="O187" s="37"/>
    </row>
    <row r="188" spans="2:16" ht="30" customHeight="1" x14ac:dyDescent="0.25">
      <c r="B188" s="6"/>
      <c r="D188" s="6"/>
      <c r="E188" s="6"/>
      <c r="G188" s="6"/>
      <c r="H188" s="6"/>
      <c r="I188" s="6"/>
      <c r="J188" s="14"/>
      <c r="K188" s="14"/>
      <c r="L188" s="14"/>
      <c r="M188" s="245"/>
      <c r="N188" s="245"/>
      <c r="O188" s="245"/>
    </row>
    <row r="189" spans="2:16" x14ac:dyDescent="0.25">
      <c r="B189" s="6"/>
      <c r="D189" s="6"/>
      <c r="E189" s="6"/>
      <c r="G189" s="6"/>
      <c r="H189" s="6"/>
      <c r="I189" s="6"/>
      <c r="J189" s="100"/>
      <c r="K189" s="100"/>
      <c r="L189" s="100"/>
      <c r="M189" s="245"/>
      <c r="N189" s="245"/>
      <c r="O189" s="245"/>
    </row>
    <row r="190" spans="2:16" x14ac:dyDescent="0.25">
      <c r="H190"/>
      <c r="I190"/>
      <c r="J190" s="10"/>
      <c r="K190" s="10"/>
    </row>
    <row r="191" spans="2:16" x14ac:dyDescent="0.25">
      <c r="B191" s="6"/>
      <c r="D191" s="20"/>
      <c r="E191" s="6"/>
      <c r="G191" s="6"/>
      <c r="H191" s="20"/>
      <c r="I191" s="6"/>
      <c r="J191" s="14"/>
      <c r="K191" s="14"/>
      <c r="L191" s="14"/>
      <c r="M191" s="245"/>
      <c r="N191" s="245"/>
      <c r="O191" s="245"/>
    </row>
    <row r="192" spans="2:16" x14ac:dyDescent="0.25">
      <c r="B192" s="6"/>
      <c r="D192" s="6"/>
      <c r="E192" s="6"/>
      <c r="G192" s="6"/>
      <c r="H192" s="6"/>
      <c r="I192" s="6"/>
      <c r="J192" s="14"/>
      <c r="K192" s="14"/>
      <c r="L192" s="14"/>
      <c r="M192" s="245"/>
      <c r="N192" s="245"/>
      <c r="O192" s="245"/>
    </row>
    <row r="193" spans="2:15" x14ac:dyDescent="0.25">
      <c r="B193" s="6"/>
      <c r="D193" s="6"/>
      <c r="E193" s="6"/>
      <c r="G193" s="6"/>
      <c r="H193" s="6"/>
      <c r="I193" s="6"/>
      <c r="J193" s="100"/>
      <c r="K193" s="100"/>
      <c r="L193" s="100"/>
      <c r="M193" s="37"/>
      <c r="N193" s="37"/>
      <c r="O193" s="37"/>
    </row>
    <row r="194" spans="2:15" x14ac:dyDescent="0.25">
      <c r="B194" s="6"/>
      <c r="D194" s="20"/>
      <c r="E194" s="6"/>
      <c r="G194" s="6"/>
      <c r="H194" s="20"/>
      <c r="I194" s="6"/>
      <c r="J194" s="14"/>
      <c r="K194" s="14"/>
      <c r="L194" s="14"/>
      <c r="M194" s="37"/>
      <c r="N194" s="37"/>
      <c r="O194" s="37"/>
    </row>
    <row r="195" spans="2:15" ht="15" customHeight="1" x14ac:dyDescent="0.25">
      <c r="B195" s="6"/>
      <c r="D195" s="6"/>
      <c r="E195" s="6"/>
      <c r="G195" s="6"/>
      <c r="H195" s="6"/>
      <c r="I195" s="6"/>
      <c r="J195" s="14"/>
      <c r="K195" s="14"/>
      <c r="L195" s="14"/>
      <c r="M195" s="245"/>
      <c r="N195" s="245"/>
      <c r="O195" s="245"/>
    </row>
    <row r="196" spans="2:15" ht="30" customHeight="1" x14ac:dyDescent="0.25">
      <c r="B196" s="6"/>
      <c r="D196" s="6"/>
      <c r="E196" s="6"/>
      <c r="G196" s="6"/>
      <c r="H196" s="6"/>
      <c r="I196" s="6"/>
      <c r="J196" s="100"/>
      <c r="K196" s="100"/>
      <c r="L196" s="100"/>
      <c r="M196" s="245"/>
      <c r="N196" s="245"/>
      <c r="O196" s="245"/>
    </row>
    <row r="197" spans="2:15" ht="30" customHeight="1" x14ac:dyDescent="0.25">
      <c r="H197"/>
      <c r="I197"/>
      <c r="J197" s="10"/>
      <c r="K197" s="10"/>
    </row>
    <row r="198" spans="2:15" x14ac:dyDescent="0.25">
      <c r="B198" s="6"/>
      <c r="D198" s="20"/>
      <c r="E198" s="6"/>
      <c r="G198" s="6"/>
      <c r="H198" s="20"/>
      <c r="I198" s="6"/>
      <c r="J198" s="14"/>
      <c r="K198" s="14"/>
      <c r="L198" s="14"/>
      <c r="M198" s="245"/>
      <c r="N198" s="245"/>
      <c r="O198" s="245"/>
    </row>
    <row r="199" spans="2:15" ht="30" customHeight="1" x14ac:dyDescent="0.25">
      <c r="B199" s="6"/>
      <c r="D199" s="6"/>
      <c r="E199" s="6"/>
      <c r="G199" s="6"/>
      <c r="H199" s="6"/>
      <c r="I199" s="6"/>
      <c r="J199" s="14"/>
      <c r="K199" s="14"/>
      <c r="L199" s="14"/>
      <c r="M199" s="37"/>
      <c r="N199" s="37"/>
      <c r="O199" s="37"/>
    </row>
    <row r="200" spans="2:15" ht="30" customHeight="1" x14ac:dyDescent="0.25">
      <c r="B200" s="6"/>
      <c r="D200" s="6"/>
      <c r="E200" s="6"/>
      <c r="G200" s="6"/>
      <c r="H200" s="6"/>
      <c r="I200" s="6"/>
      <c r="J200" s="100"/>
      <c r="K200" s="100"/>
      <c r="L200" s="100"/>
      <c r="M200" s="37"/>
      <c r="N200" s="37"/>
      <c r="O200" s="37"/>
    </row>
    <row r="201" spans="2:15" ht="30" customHeight="1" x14ac:dyDescent="0.25">
      <c r="H201"/>
      <c r="I201"/>
      <c r="J201" s="10"/>
      <c r="K201" s="10"/>
    </row>
    <row r="202" spans="2:15" ht="15" customHeight="1" x14ac:dyDescent="0.25">
      <c r="H202"/>
      <c r="I202"/>
      <c r="J202" s="10"/>
      <c r="K202" s="10"/>
    </row>
    <row r="203" spans="2:15" ht="30" customHeight="1" x14ac:dyDescent="0.25">
      <c r="H203"/>
      <c r="I203"/>
      <c r="J203" s="10"/>
      <c r="K203" s="10"/>
    </row>
    <row r="204" spans="2:15" ht="30" customHeight="1" x14ac:dyDescent="0.25">
      <c r="H204"/>
      <c r="I204"/>
      <c r="J204" s="10"/>
      <c r="K204" s="10"/>
    </row>
    <row r="205" spans="2:15" x14ac:dyDescent="0.25">
      <c r="H205"/>
      <c r="I205"/>
      <c r="J205" s="10"/>
      <c r="K205" s="10"/>
    </row>
    <row r="206" spans="2:15" ht="15" customHeight="1" x14ac:dyDescent="0.25">
      <c r="H206"/>
      <c r="I206"/>
      <c r="J206" s="10"/>
      <c r="K206" s="10"/>
    </row>
    <row r="207" spans="2:15" ht="30" customHeight="1" x14ac:dyDescent="0.25">
      <c r="B207" s="6"/>
      <c r="D207" s="6"/>
      <c r="E207" s="6"/>
      <c r="G207" s="6"/>
      <c r="H207" s="6"/>
      <c r="I207" s="6"/>
      <c r="J207" s="14"/>
      <c r="K207" s="14"/>
      <c r="L207" s="14"/>
      <c r="M207" s="245"/>
      <c r="N207" s="245"/>
      <c r="O207" s="245"/>
    </row>
    <row r="208" spans="2:15" ht="30" customHeight="1" x14ac:dyDescent="0.25">
      <c r="H208"/>
      <c r="I208"/>
      <c r="J208" s="10"/>
      <c r="K208" s="10"/>
    </row>
    <row r="209" spans="2:15" x14ac:dyDescent="0.25">
      <c r="B209" s="6"/>
      <c r="D209" s="6"/>
      <c r="E209" s="6"/>
      <c r="G209" s="6"/>
      <c r="H209" s="6"/>
      <c r="I209" s="6"/>
      <c r="J209" s="14"/>
      <c r="K209" s="14"/>
      <c r="L209" s="14"/>
    </row>
    <row r="210" spans="2:15" x14ac:dyDescent="0.25">
      <c r="H210"/>
      <c r="I210"/>
      <c r="J210" s="10"/>
      <c r="K210" s="10"/>
    </row>
    <row r="211" spans="2:15" x14ac:dyDescent="0.25">
      <c r="H211"/>
      <c r="I211"/>
      <c r="J211" s="10"/>
      <c r="K211" s="10"/>
    </row>
    <row r="212" spans="2:15" x14ac:dyDescent="0.25">
      <c r="B212" s="6"/>
      <c r="D212" s="20"/>
      <c r="E212" s="6"/>
      <c r="G212" s="6"/>
      <c r="H212" s="20"/>
      <c r="I212" s="6"/>
      <c r="J212" s="14"/>
      <c r="K212" s="14"/>
      <c r="L212" s="14"/>
      <c r="M212" s="37"/>
      <c r="N212" s="37"/>
      <c r="O212" s="37"/>
    </row>
    <row r="213" spans="2:15" x14ac:dyDescent="0.25">
      <c r="B213" s="6"/>
      <c r="D213" s="6"/>
      <c r="E213" s="6"/>
      <c r="G213" s="6"/>
      <c r="H213" s="6"/>
      <c r="I213" s="6"/>
      <c r="J213" s="14"/>
      <c r="K213" s="14"/>
      <c r="L213" s="14"/>
      <c r="M213" s="245"/>
      <c r="N213" s="245"/>
      <c r="O213" s="245"/>
    </row>
    <row r="214" spans="2:15" x14ac:dyDescent="0.25">
      <c r="B214" s="6"/>
      <c r="D214" s="6"/>
      <c r="E214" s="6"/>
      <c r="G214" s="6"/>
      <c r="H214" s="6"/>
      <c r="I214" s="6"/>
      <c r="J214" s="100"/>
      <c r="K214" s="100"/>
      <c r="L214" s="100"/>
      <c r="M214" s="37"/>
      <c r="N214" s="37"/>
      <c r="O214" s="37"/>
    </row>
    <row r="215" spans="2:15" ht="30" customHeight="1" x14ac:dyDescent="0.25">
      <c r="B215" s="6"/>
      <c r="D215" s="6"/>
      <c r="E215" s="6"/>
      <c r="G215" s="6"/>
      <c r="H215" s="6"/>
      <c r="I215" s="6"/>
      <c r="J215" s="14"/>
      <c r="K215" s="14"/>
      <c r="L215" s="101"/>
      <c r="M215" s="245"/>
      <c r="N215" s="245"/>
      <c r="O215" s="245"/>
    </row>
    <row r="216" spans="2:15" x14ac:dyDescent="0.25">
      <c r="H216"/>
      <c r="I216"/>
      <c r="J216" s="10"/>
      <c r="K216" s="10"/>
    </row>
    <row r="217" spans="2:15" x14ac:dyDescent="0.25">
      <c r="H217"/>
      <c r="I217"/>
      <c r="J217" s="10"/>
      <c r="K217" s="10"/>
    </row>
    <row r="218" spans="2:15" x14ac:dyDescent="0.25">
      <c r="B218" s="6"/>
      <c r="D218" s="6"/>
      <c r="E218" s="6"/>
      <c r="G218" s="6"/>
      <c r="H218" s="6"/>
      <c r="I218" s="6"/>
      <c r="J218" s="14"/>
      <c r="K218" s="14"/>
      <c r="L218" s="14"/>
      <c r="M218" s="245"/>
      <c r="N218" s="245"/>
      <c r="O218" s="245"/>
    </row>
    <row r="219" spans="2:15" x14ac:dyDescent="0.25">
      <c r="H219"/>
      <c r="I219"/>
      <c r="J219" s="10"/>
      <c r="K219" s="10"/>
    </row>
    <row r="220" spans="2:15" ht="15" customHeight="1" x14ac:dyDescent="0.25">
      <c r="B220" s="6"/>
      <c r="D220" s="20"/>
      <c r="E220" s="6"/>
      <c r="G220" s="6"/>
      <c r="H220" s="20"/>
      <c r="I220" s="6"/>
      <c r="J220" s="14"/>
      <c r="K220" s="14"/>
      <c r="L220" s="14"/>
      <c r="M220" s="245"/>
      <c r="N220" s="245"/>
      <c r="O220" s="245"/>
    </row>
    <row r="221" spans="2:15" ht="30" customHeight="1" x14ac:dyDescent="0.25">
      <c r="B221" s="6"/>
      <c r="D221" s="6"/>
      <c r="E221" s="6"/>
      <c r="G221" s="6"/>
      <c r="H221" s="6"/>
      <c r="I221" s="6"/>
      <c r="J221" s="14"/>
      <c r="K221" s="14"/>
      <c r="L221" s="14"/>
      <c r="M221" s="245"/>
      <c r="N221" s="245"/>
      <c r="O221" s="245"/>
    </row>
    <row r="222" spans="2:15" ht="30" customHeight="1" x14ac:dyDescent="0.25">
      <c r="B222" s="6"/>
      <c r="D222" s="6"/>
      <c r="E222" s="6"/>
      <c r="G222" s="6"/>
      <c r="H222" s="6"/>
      <c r="I222" s="6"/>
      <c r="J222" s="100"/>
      <c r="K222" s="100"/>
      <c r="L222" s="100"/>
      <c r="M222" s="245"/>
      <c r="N222" s="245"/>
      <c r="O222" s="245"/>
    </row>
    <row r="223" spans="2:15" ht="30" customHeight="1" x14ac:dyDescent="0.25">
      <c r="H223"/>
      <c r="I223"/>
      <c r="J223" s="10"/>
      <c r="K223" s="10"/>
    </row>
    <row r="224" spans="2:15" x14ac:dyDescent="0.25">
      <c r="H224"/>
      <c r="I224"/>
      <c r="J224" s="10"/>
      <c r="K224" s="10"/>
    </row>
    <row r="225" spans="8:11" x14ac:dyDescent="0.25">
      <c r="H225"/>
      <c r="I225"/>
      <c r="J225" s="10"/>
      <c r="K225" s="10"/>
    </row>
    <row r="226" spans="8:11" ht="30" customHeight="1" x14ac:dyDescent="0.25">
      <c r="H226"/>
      <c r="I226"/>
      <c r="J226" s="10"/>
      <c r="K226" s="10"/>
    </row>
    <row r="227" spans="8:11" x14ac:dyDescent="0.25">
      <c r="H227"/>
      <c r="I227"/>
      <c r="J227" s="10"/>
      <c r="K227" s="10"/>
    </row>
    <row r="228" spans="8:11" ht="15" customHeight="1" x14ac:dyDescent="0.25">
      <c r="H228" s="10"/>
      <c r="I228" s="25"/>
      <c r="J228" s="10"/>
      <c r="K228" s="10"/>
    </row>
    <row r="229" spans="8:11" ht="30" customHeight="1" x14ac:dyDescent="0.25">
      <c r="H229" s="10"/>
      <c r="I229" s="25"/>
      <c r="J229" s="10"/>
      <c r="K229" s="10"/>
    </row>
    <row r="230" spans="8:11" ht="30" customHeight="1" x14ac:dyDescent="0.25">
      <c r="H230" s="10"/>
      <c r="I230" s="25"/>
      <c r="J230" s="10"/>
      <c r="K230" s="10"/>
    </row>
    <row r="231" spans="8:11" x14ac:dyDescent="0.25">
      <c r="H231" s="10"/>
      <c r="I231" s="25"/>
      <c r="J231" s="10"/>
      <c r="K231" s="10"/>
    </row>
    <row r="232" spans="8:11" x14ac:dyDescent="0.25">
      <c r="H232" s="10"/>
      <c r="I232" s="25"/>
      <c r="J232" s="10"/>
      <c r="K232" s="10"/>
    </row>
  </sheetData>
  <mergeCells count="95">
    <mergeCell ref="K25:L25"/>
    <mergeCell ref="K53:L53"/>
    <mergeCell ref="K83:L83"/>
    <mergeCell ref="K110:L110"/>
    <mergeCell ref="M57:O57"/>
    <mergeCell ref="M45:O45"/>
    <mergeCell ref="M56:O56"/>
    <mergeCell ref="M34:O34"/>
    <mergeCell ref="M41:O41"/>
    <mergeCell ref="M38:O38"/>
    <mergeCell ref="M60:O60"/>
    <mergeCell ref="M48:O48"/>
    <mergeCell ref="M59:O59"/>
    <mergeCell ref="M55:O55"/>
    <mergeCell ref="M58:O58"/>
    <mergeCell ref="M27:O27"/>
    <mergeCell ref="M47:O47"/>
    <mergeCell ref="M88:O88"/>
    <mergeCell ref="M128:O128"/>
    <mergeCell ref="M65:O65"/>
    <mergeCell ref="M95:O95"/>
    <mergeCell ref="M68:O68"/>
    <mergeCell ref="M73:O73"/>
    <mergeCell ref="M100:O100"/>
    <mergeCell ref="M62:O62"/>
    <mergeCell ref="M77:O77"/>
    <mergeCell ref="M78:O78"/>
    <mergeCell ref="M75:O75"/>
    <mergeCell ref="M86:O86"/>
    <mergeCell ref="M101:O101"/>
    <mergeCell ref="M102:O102"/>
    <mergeCell ref="M22:O22"/>
    <mergeCell ref="M30:O30"/>
    <mergeCell ref="M9:O9"/>
    <mergeCell ref="M131:O131"/>
    <mergeCell ref="M35:O35"/>
    <mergeCell ref="M31:O31"/>
    <mergeCell ref="M32:O32"/>
    <mergeCell ref="M36:O36"/>
    <mergeCell ref="M37:O37"/>
    <mergeCell ref="M33:O33"/>
    <mergeCell ref="M23:O23"/>
    <mergeCell ref="M28:O28"/>
    <mergeCell ref="M72:O72"/>
    <mergeCell ref="M117:O117"/>
    <mergeCell ref="M113:O113"/>
    <mergeCell ref="M43:O43"/>
    <mergeCell ref="M20:O20"/>
    <mergeCell ref="M21:O21"/>
    <mergeCell ref="M11:O11"/>
    <mergeCell ref="M13:O13"/>
    <mergeCell ref="M14:O14"/>
    <mergeCell ref="M16:O16"/>
    <mergeCell ref="M8:O8"/>
    <mergeCell ref="M10:O10"/>
    <mergeCell ref="M17:O17"/>
    <mergeCell ref="M18:O18"/>
    <mergeCell ref="M19:O19"/>
    <mergeCell ref="M213:O213"/>
    <mergeCell ref="M93:O93"/>
    <mergeCell ref="M189:O189"/>
    <mergeCell ref="M192:O192"/>
    <mergeCell ref="M188:O188"/>
    <mergeCell ref="M184:O184"/>
    <mergeCell ref="M167:O167"/>
    <mergeCell ref="M198:O198"/>
    <mergeCell ref="M196:O196"/>
    <mergeCell ref="M191:O191"/>
    <mergeCell ref="M155:O155"/>
    <mergeCell ref="M180:O180"/>
    <mergeCell ref="M105:O105"/>
    <mergeCell ref="M164:O164"/>
    <mergeCell ref="M107:O107"/>
    <mergeCell ref="M207:O207"/>
    <mergeCell ref="M159:O159"/>
    <mergeCell ref="P142:U142"/>
    <mergeCell ref="P143:U143"/>
    <mergeCell ref="M177:O177"/>
    <mergeCell ref="M173:O173"/>
    <mergeCell ref="M132:O132"/>
    <mergeCell ref="M222:O222"/>
    <mergeCell ref="M98:O98"/>
    <mergeCell ref="M125:O125"/>
    <mergeCell ref="M126:O126"/>
    <mergeCell ref="M183:O183"/>
    <mergeCell ref="M114:O114"/>
    <mergeCell ref="M215:O215"/>
    <mergeCell ref="M122:O122"/>
    <mergeCell ref="M116:O116"/>
    <mergeCell ref="M221:O221"/>
    <mergeCell ref="M195:O195"/>
    <mergeCell ref="M104:O104"/>
    <mergeCell ref="M220:O220"/>
    <mergeCell ref="M218:O218"/>
    <mergeCell ref="M123:O123"/>
  </mergeCells>
  <pageMargins left="0.55118110236220474" right="0.51181102362204722" top="0.55118110236220474" bottom="0.62992125984251968" header="0.39370078740157483" footer="0.31496062992125984"/>
  <pageSetup paperSize="5" scale="60" orientation="landscape" r:id="rId1"/>
  <headerFooter>
    <oddFooter>&amp;CNomina Confianza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9"/>
    <pageSetUpPr fitToPage="1"/>
  </sheetPr>
  <dimension ref="D1:N46"/>
  <sheetViews>
    <sheetView topLeftCell="D1" zoomScale="80" zoomScaleNormal="80" workbookViewId="0">
      <selection activeCell="P23" sqref="P23"/>
    </sheetView>
  </sheetViews>
  <sheetFormatPr baseColWidth="10" defaultColWidth="11.42578125" defaultRowHeight="15" x14ac:dyDescent="0.25"/>
  <cols>
    <col min="2" max="3" width="3.140625" customWidth="1"/>
    <col min="4" max="4" width="30.7109375" customWidth="1"/>
    <col min="5" max="5" width="20.28515625" hidden="1" customWidth="1"/>
    <col min="6" max="6" width="12.28515625" style="13" customWidth="1"/>
    <col min="7" max="7" width="52.42578125" customWidth="1"/>
    <col min="8" max="8" width="35.85546875" customWidth="1"/>
    <col min="9" max="9" width="35.140625" customWidth="1"/>
    <col min="10" max="10" width="21.28515625" customWidth="1"/>
    <col min="11" max="11" width="88.140625" customWidth="1"/>
  </cols>
  <sheetData>
    <row r="1" spans="4:12" ht="21" x14ac:dyDescent="0.35">
      <c r="D1" s="252" t="s">
        <v>95</v>
      </c>
      <c r="E1" s="252"/>
      <c r="F1" s="252"/>
      <c r="G1" s="252"/>
      <c r="H1" s="252"/>
      <c r="I1" s="252"/>
      <c r="J1" s="252"/>
      <c r="K1" s="252"/>
      <c r="L1" s="112"/>
    </row>
    <row r="2" spans="4:12" ht="21" x14ac:dyDescent="0.35">
      <c r="D2" s="252" t="s">
        <v>96</v>
      </c>
      <c r="E2" s="252"/>
      <c r="F2" s="252"/>
      <c r="G2" s="252"/>
      <c r="H2" s="252"/>
      <c r="I2" s="252"/>
      <c r="J2" s="252"/>
      <c r="K2" s="252"/>
      <c r="L2" s="112"/>
    </row>
    <row r="3" spans="4:12" ht="21" x14ac:dyDescent="0.35">
      <c r="D3" s="252" t="s">
        <v>519</v>
      </c>
      <c r="E3" s="252"/>
      <c r="F3" s="252"/>
      <c r="G3" s="252"/>
      <c r="H3" s="252"/>
      <c r="I3" s="252"/>
      <c r="J3" s="252"/>
      <c r="K3" s="252"/>
      <c r="L3" s="112"/>
    </row>
    <row r="4" spans="4:12" ht="21" x14ac:dyDescent="0.35">
      <c r="D4" s="114"/>
      <c r="E4" s="114"/>
      <c r="F4" s="114"/>
      <c r="G4" s="114"/>
      <c r="H4" s="114"/>
      <c r="I4" s="114"/>
      <c r="J4" s="114"/>
      <c r="K4" s="173" t="s">
        <v>478</v>
      </c>
      <c r="L4" s="112"/>
    </row>
    <row r="5" spans="4:12" ht="40.5" customHeight="1" x14ac:dyDescent="0.35">
      <c r="D5" s="115" t="s">
        <v>13</v>
      </c>
      <c r="E5" s="116" t="s">
        <v>97</v>
      </c>
      <c r="F5" s="116"/>
      <c r="G5" s="115" t="s">
        <v>98</v>
      </c>
      <c r="H5" s="115" t="s">
        <v>2</v>
      </c>
      <c r="I5" s="115" t="s">
        <v>99</v>
      </c>
      <c r="J5" s="115" t="s">
        <v>3</v>
      </c>
      <c r="K5" s="115" t="s">
        <v>100</v>
      </c>
      <c r="L5" s="112"/>
    </row>
    <row r="6" spans="4:12" ht="21" x14ac:dyDescent="0.35">
      <c r="D6" s="115"/>
      <c r="E6" s="116"/>
      <c r="F6" s="116"/>
      <c r="G6" s="115"/>
      <c r="H6" s="115"/>
      <c r="I6" s="115"/>
      <c r="J6" s="115"/>
      <c r="K6" s="115"/>
      <c r="L6" s="112"/>
    </row>
    <row r="7" spans="4:12" ht="21" x14ac:dyDescent="0.35">
      <c r="D7" s="115"/>
      <c r="E7" s="116"/>
      <c r="F7" s="116"/>
      <c r="G7" s="115"/>
      <c r="H7" s="115"/>
      <c r="I7" s="115"/>
      <c r="J7" s="115"/>
      <c r="K7" s="115"/>
      <c r="L7" s="112"/>
    </row>
    <row r="8" spans="4:12" ht="21" x14ac:dyDescent="0.35">
      <c r="D8" s="117"/>
      <c r="E8" s="117"/>
      <c r="F8" s="169"/>
      <c r="G8" s="117"/>
      <c r="H8" s="117"/>
      <c r="I8" s="117"/>
      <c r="J8" s="117"/>
      <c r="K8" s="117"/>
      <c r="L8" s="112"/>
    </row>
    <row r="9" spans="4:12" ht="24.75" customHeight="1" x14ac:dyDescent="0.35">
      <c r="D9" s="118" t="s">
        <v>172</v>
      </c>
      <c r="E9" s="119">
        <v>40238</v>
      </c>
      <c r="F9" s="114">
        <v>1</v>
      </c>
      <c r="G9" s="112" t="s">
        <v>303</v>
      </c>
      <c r="H9" s="112" t="s">
        <v>101</v>
      </c>
      <c r="I9" s="112" t="s">
        <v>106</v>
      </c>
      <c r="J9" s="120">
        <v>1188</v>
      </c>
      <c r="K9" s="121"/>
      <c r="L9" s="112"/>
    </row>
    <row r="10" spans="4:12" ht="21" x14ac:dyDescent="0.35">
      <c r="D10" s="117"/>
      <c r="E10" s="117"/>
      <c r="F10" s="169"/>
      <c r="G10" s="117"/>
      <c r="H10" s="117"/>
      <c r="I10" s="117"/>
      <c r="J10" s="117"/>
      <c r="K10" s="117"/>
      <c r="L10" s="112"/>
    </row>
    <row r="11" spans="4:12" ht="38.25" customHeight="1" x14ac:dyDescent="0.35">
      <c r="D11" s="118" t="s">
        <v>172</v>
      </c>
      <c r="E11" s="119">
        <v>40179</v>
      </c>
      <c r="F11" s="114">
        <v>2</v>
      </c>
      <c r="G11" s="112" t="s">
        <v>165</v>
      </c>
      <c r="H11" s="112" t="s">
        <v>101</v>
      </c>
      <c r="I11" s="112" t="s">
        <v>105</v>
      </c>
      <c r="J11" s="120">
        <v>1188</v>
      </c>
      <c r="K11" s="121"/>
      <c r="L11" s="112"/>
    </row>
    <row r="12" spans="4:12" ht="21" x14ac:dyDescent="0.35">
      <c r="D12" s="117"/>
      <c r="E12" s="117"/>
      <c r="F12" s="169"/>
      <c r="G12" s="117"/>
      <c r="H12" s="117"/>
      <c r="I12" s="117"/>
      <c r="J12" s="117"/>
      <c r="K12" s="117"/>
      <c r="L12" s="112"/>
    </row>
    <row r="13" spans="4:12" ht="24.75" customHeight="1" x14ac:dyDescent="0.35">
      <c r="D13" s="118" t="s">
        <v>172</v>
      </c>
      <c r="E13" s="119">
        <v>40360</v>
      </c>
      <c r="F13" s="114">
        <v>3</v>
      </c>
      <c r="G13" s="112" t="s">
        <v>238</v>
      </c>
      <c r="H13" s="112" t="s">
        <v>101</v>
      </c>
      <c r="I13" s="112" t="s">
        <v>107</v>
      </c>
      <c r="J13" s="120">
        <v>1188</v>
      </c>
      <c r="K13" s="121"/>
      <c r="L13" s="112"/>
    </row>
    <row r="14" spans="4:12" ht="21" x14ac:dyDescent="0.35">
      <c r="D14" s="117"/>
      <c r="E14" s="117"/>
      <c r="F14" s="169"/>
      <c r="G14" s="117"/>
      <c r="H14" s="117"/>
      <c r="I14" s="117"/>
      <c r="J14" s="117"/>
      <c r="K14" s="117"/>
      <c r="L14" s="112"/>
    </row>
    <row r="15" spans="4:12" ht="21.75" customHeight="1" x14ac:dyDescent="0.35">
      <c r="D15" s="118" t="s">
        <v>172</v>
      </c>
      <c r="E15" s="119"/>
      <c r="F15" s="114">
        <v>4</v>
      </c>
      <c r="G15" s="112" t="s">
        <v>296</v>
      </c>
      <c r="H15" s="112" t="s">
        <v>101</v>
      </c>
      <c r="I15" s="112" t="s">
        <v>102</v>
      </c>
      <c r="J15" s="120">
        <v>1188</v>
      </c>
      <c r="K15" s="121"/>
      <c r="L15" s="112"/>
    </row>
    <row r="16" spans="4:12" ht="21" x14ac:dyDescent="0.35">
      <c r="D16" s="117"/>
      <c r="E16" s="117"/>
      <c r="F16" s="169"/>
      <c r="G16" s="117"/>
      <c r="H16" s="117"/>
      <c r="I16" s="117"/>
      <c r="J16" s="117"/>
      <c r="K16" s="117"/>
      <c r="L16" s="112"/>
    </row>
    <row r="17" spans="4:12" ht="26.25" customHeight="1" x14ac:dyDescent="0.35">
      <c r="D17" s="118" t="s">
        <v>172</v>
      </c>
      <c r="E17" s="119"/>
      <c r="F17" s="114">
        <v>5</v>
      </c>
      <c r="G17" s="112" t="s">
        <v>239</v>
      </c>
      <c r="H17" s="112" t="s">
        <v>101</v>
      </c>
      <c r="I17" s="112" t="s">
        <v>108</v>
      </c>
      <c r="J17" s="120">
        <v>1188</v>
      </c>
      <c r="K17" s="121"/>
      <c r="L17" s="112"/>
    </row>
    <row r="18" spans="4:12" ht="21" x14ac:dyDescent="0.35">
      <c r="D18" s="117"/>
      <c r="E18" s="117"/>
      <c r="F18" s="169"/>
      <c r="G18" s="117"/>
      <c r="H18" s="117"/>
      <c r="I18" s="117"/>
      <c r="J18" s="117"/>
      <c r="K18" s="117"/>
      <c r="L18" s="112"/>
    </row>
    <row r="19" spans="4:12" ht="23.25" customHeight="1" x14ac:dyDescent="0.35">
      <c r="D19" s="118" t="s">
        <v>172</v>
      </c>
      <c r="E19" s="119"/>
      <c r="F19" s="114">
        <v>6</v>
      </c>
      <c r="G19" s="112" t="s">
        <v>297</v>
      </c>
      <c r="H19" s="112" t="s">
        <v>101</v>
      </c>
      <c r="I19" s="112" t="s">
        <v>110</v>
      </c>
      <c r="J19" s="120">
        <v>1188</v>
      </c>
      <c r="K19" s="121"/>
      <c r="L19" s="112"/>
    </row>
    <row r="20" spans="4:12" ht="21" x14ac:dyDescent="0.35">
      <c r="D20" s="117"/>
      <c r="E20" s="117"/>
      <c r="F20" s="169"/>
      <c r="G20" s="117"/>
      <c r="H20" s="117"/>
      <c r="I20" s="117"/>
      <c r="J20" s="117"/>
      <c r="K20" s="117"/>
      <c r="L20" s="112"/>
    </row>
    <row r="21" spans="4:12" ht="22.5" customHeight="1" x14ac:dyDescent="0.35">
      <c r="D21" s="118" t="s">
        <v>172</v>
      </c>
      <c r="E21" s="119">
        <v>40179</v>
      </c>
      <c r="F21" s="114">
        <v>7</v>
      </c>
      <c r="G21" s="112" t="s">
        <v>237</v>
      </c>
      <c r="H21" s="112" t="s">
        <v>101</v>
      </c>
      <c r="I21" s="112" t="s">
        <v>103</v>
      </c>
      <c r="J21" s="120">
        <v>1188</v>
      </c>
      <c r="K21" s="121"/>
      <c r="L21" s="112"/>
    </row>
    <row r="22" spans="4:12" ht="21" x14ac:dyDescent="0.35">
      <c r="D22" s="117"/>
      <c r="E22" s="117"/>
      <c r="F22" s="169"/>
      <c r="G22" s="117"/>
      <c r="H22" s="117"/>
      <c r="I22" s="117"/>
      <c r="J22" s="117"/>
      <c r="K22" s="117"/>
      <c r="L22" s="112"/>
    </row>
    <row r="23" spans="4:12" ht="24.75" customHeight="1" x14ac:dyDescent="0.35">
      <c r="D23" s="118" t="s">
        <v>172</v>
      </c>
      <c r="E23" s="119">
        <v>40179</v>
      </c>
      <c r="F23" s="114">
        <v>8</v>
      </c>
      <c r="G23" s="112" t="s">
        <v>175</v>
      </c>
      <c r="H23" s="112" t="s">
        <v>101</v>
      </c>
      <c r="I23" s="112" t="s">
        <v>176</v>
      </c>
      <c r="J23" s="120">
        <v>1188</v>
      </c>
      <c r="K23" s="121"/>
      <c r="L23" s="112"/>
    </row>
    <row r="24" spans="4:12" ht="21" x14ac:dyDescent="0.35">
      <c r="D24" s="117"/>
      <c r="E24" s="117"/>
      <c r="F24" s="169"/>
      <c r="G24" s="117"/>
      <c r="H24" s="117"/>
      <c r="I24" s="117"/>
      <c r="J24" s="117"/>
      <c r="K24" s="117"/>
      <c r="L24" s="112"/>
    </row>
    <row r="25" spans="4:12" ht="24.75" customHeight="1" x14ac:dyDescent="0.35">
      <c r="D25" s="118" t="s">
        <v>172</v>
      </c>
      <c r="E25" s="119"/>
      <c r="F25" s="114">
        <v>9</v>
      </c>
      <c r="G25" s="112" t="s">
        <v>240</v>
      </c>
      <c r="H25" s="112" t="s">
        <v>101</v>
      </c>
      <c r="I25" s="112" t="s">
        <v>104</v>
      </c>
      <c r="J25" s="120">
        <v>1188</v>
      </c>
      <c r="K25" s="121"/>
      <c r="L25" s="112"/>
    </row>
    <row r="26" spans="4:12" ht="21" x14ac:dyDescent="0.35">
      <c r="D26" s="117"/>
      <c r="E26" s="117"/>
      <c r="F26" s="169"/>
      <c r="G26" s="117"/>
      <c r="H26" s="117"/>
      <c r="I26" s="117"/>
      <c r="J26" s="117"/>
      <c r="K26" s="117"/>
      <c r="L26" s="112"/>
    </row>
    <row r="27" spans="4:12" ht="26.25" customHeight="1" x14ac:dyDescent="0.35">
      <c r="D27" s="118" t="s">
        <v>172</v>
      </c>
      <c r="E27" s="119"/>
      <c r="F27" s="114">
        <v>10</v>
      </c>
      <c r="G27" s="112" t="s">
        <v>307</v>
      </c>
      <c r="H27" s="112" t="s">
        <v>101</v>
      </c>
      <c r="I27" s="112" t="s">
        <v>305</v>
      </c>
      <c r="J27" s="120">
        <v>1188</v>
      </c>
      <c r="K27" s="121"/>
      <c r="L27" s="112"/>
    </row>
    <row r="28" spans="4:12" ht="21" x14ac:dyDescent="0.35">
      <c r="D28" s="117"/>
      <c r="E28" s="117"/>
      <c r="F28" s="169"/>
      <c r="G28" s="117"/>
      <c r="H28" s="117"/>
      <c r="I28" s="117"/>
      <c r="J28" s="117"/>
      <c r="K28" s="117"/>
      <c r="L28" s="112"/>
    </row>
    <row r="29" spans="4:12" ht="22.5" customHeight="1" x14ac:dyDescent="0.35">
      <c r="D29" s="118" t="s">
        <v>172</v>
      </c>
      <c r="E29" s="119"/>
      <c r="F29" s="114">
        <v>11</v>
      </c>
      <c r="G29" s="112" t="s">
        <v>299</v>
      </c>
      <c r="H29" s="112" t="s">
        <v>101</v>
      </c>
      <c r="I29" s="112" t="s">
        <v>300</v>
      </c>
      <c r="J29" s="120">
        <v>1188</v>
      </c>
      <c r="K29" s="121"/>
      <c r="L29" s="112"/>
    </row>
    <row r="30" spans="4:12" ht="21" x14ac:dyDescent="0.35">
      <c r="D30" s="117"/>
      <c r="E30" s="117"/>
      <c r="F30" s="169"/>
      <c r="G30" s="117"/>
      <c r="H30" s="117"/>
      <c r="I30" s="117"/>
      <c r="J30" s="117"/>
      <c r="K30" s="117"/>
      <c r="L30" s="112"/>
    </row>
    <row r="31" spans="4:12" ht="26.25" customHeight="1" x14ac:dyDescent="0.35">
      <c r="D31" s="118" t="s">
        <v>172</v>
      </c>
      <c r="E31" s="119"/>
      <c r="F31" s="114">
        <v>12</v>
      </c>
      <c r="G31" s="112" t="s">
        <v>301</v>
      </c>
      <c r="H31" s="112" t="s">
        <v>101</v>
      </c>
      <c r="I31" s="112" t="s">
        <v>302</v>
      </c>
      <c r="J31" s="120">
        <v>1188</v>
      </c>
      <c r="K31" s="121"/>
      <c r="L31" s="112"/>
    </row>
    <row r="32" spans="4:12" ht="21" x14ac:dyDescent="0.35">
      <c r="D32" s="117"/>
      <c r="E32" s="117"/>
      <c r="F32" s="169"/>
      <c r="G32" s="117"/>
      <c r="H32" s="117"/>
      <c r="I32" s="117"/>
      <c r="J32" s="117"/>
      <c r="K32" s="117"/>
      <c r="L32" s="112"/>
    </row>
    <row r="33" spans="4:14" ht="23.25" customHeight="1" x14ac:dyDescent="0.35">
      <c r="D33" s="118" t="s">
        <v>172</v>
      </c>
      <c r="E33" s="119">
        <v>40179</v>
      </c>
      <c r="F33" s="114">
        <v>13</v>
      </c>
      <c r="G33" s="112" t="s">
        <v>241</v>
      </c>
      <c r="H33" s="112" t="s">
        <v>298</v>
      </c>
      <c r="I33" s="112" t="s">
        <v>109</v>
      </c>
      <c r="J33" s="120">
        <v>1188</v>
      </c>
      <c r="K33" s="121"/>
      <c r="L33" s="112"/>
    </row>
    <row r="34" spans="4:14" ht="21" x14ac:dyDescent="0.35">
      <c r="D34" s="117"/>
      <c r="E34" s="117"/>
      <c r="F34" s="169"/>
      <c r="G34" s="117"/>
      <c r="H34" s="117"/>
      <c r="I34" s="117"/>
      <c r="J34" s="117"/>
      <c r="K34" s="117"/>
      <c r="L34" s="112"/>
    </row>
    <row r="35" spans="4:14" ht="21" x14ac:dyDescent="0.35">
      <c r="D35" s="118"/>
      <c r="E35" s="119"/>
      <c r="F35" s="114"/>
      <c r="G35" s="112"/>
      <c r="H35" s="112"/>
      <c r="I35" s="112" t="s">
        <v>111</v>
      </c>
      <c r="J35" s="120">
        <f>SUM(J9:J33)</f>
        <v>15444</v>
      </c>
      <c r="K35" s="112"/>
      <c r="L35" s="112"/>
    </row>
    <row r="36" spans="4:14" ht="21" x14ac:dyDescent="0.35">
      <c r="D36" s="118"/>
      <c r="E36" s="112"/>
      <c r="F36" s="114"/>
      <c r="G36" s="112"/>
      <c r="H36" s="112"/>
      <c r="I36" s="122"/>
      <c r="J36" s="123"/>
      <c r="K36" s="112"/>
      <c r="L36" s="112"/>
    </row>
    <row r="37" spans="4:14" ht="21" x14ac:dyDescent="0.35">
      <c r="D37" s="112"/>
      <c r="E37" s="112"/>
      <c r="F37" s="114"/>
      <c r="G37" s="112"/>
      <c r="H37" s="112"/>
      <c r="I37" s="122"/>
      <c r="J37" s="123"/>
      <c r="K37" s="112"/>
      <c r="L37" s="112"/>
    </row>
    <row r="38" spans="4:14" ht="21" x14ac:dyDescent="0.35">
      <c r="D38" s="112"/>
      <c r="E38" s="112"/>
      <c r="F38" s="114"/>
      <c r="G38" s="112"/>
      <c r="H38" s="112"/>
      <c r="I38" s="122"/>
      <c r="J38" s="123"/>
      <c r="K38" s="112"/>
      <c r="L38" s="112"/>
    </row>
    <row r="39" spans="4:14" ht="21" x14ac:dyDescent="0.35">
      <c r="D39" s="112"/>
      <c r="E39" s="112"/>
      <c r="F39" s="114"/>
      <c r="G39" s="112"/>
      <c r="H39" s="112"/>
      <c r="I39" s="112"/>
      <c r="J39" s="112"/>
      <c r="K39" s="112"/>
      <c r="L39" s="112"/>
      <c r="N39" s="3"/>
    </row>
    <row r="40" spans="4:14" ht="21" x14ac:dyDescent="0.35">
      <c r="D40" s="112"/>
      <c r="E40" s="112"/>
      <c r="F40" s="114"/>
      <c r="G40" s="121"/>
      <c r="H40" s="253"/>
      <c r="I40" s="253"/>
      <c r="J40" s="121"/>
      <c r="K40" s="121"/>
      <c r="L40" s="121"/>
    </row>
    <row r="41" spans="4:14" ht="21" x14ac:dyDescent="0.35">
      <c r="D41" s="113"/>
      <c r="E41" s="113"/>
      <c r="F41" s="114"/>
      <c r="G41" s="114" t="s">
        <v>236</v>
      </c>
      <c r="H41" s="252"/>
      <c r="I41" s="252"/>
      <c r="J41" s="254" t="s">
        <v>242</v>
      </c>
      <c r="K41" s="254"/>
      <c r="L41" s="254"/>
    </row>
    <row r="42" spans="4:14" ht="21" x14ac:dyDescent="0.35">
      <c r="D42" s="113"/>
      <c r="E42" s="113"/>
      <c r="F42" s="114"/>
      <c r="G42" s="114" t="s">
        <v>18</v>
      </c>
      <c r="H42" s="113"/>
      <c r="I42" s="114"/>
      <c r="J42" s="252" t="s">
        <v>19</v>
      </c>
      <c r="K42" s="252"/>
      <c r="L42" s="252"/>
    </row>
    <row r="43" spans="4:14" ht="21" x14ac:dyDescent="0.35">
      <c r="D43" s="112"/>
      <c r="E43" s="112"/>
      <c r="F43" s="114"/>
      <c r="G43" s="113"/>
      <c r="H43" s="113"/>
      <c r="I43" s="113"/>
      <c r="J43" s="113"/>
      <c r="K43" s="113"/>
      <c r="L43" s="113"/>
    </row>
    <row r="44" spans="4:14" ht="21" x14ac:dyDescent="0.35">
      <c r="D44" s="112"/>
      <c r="E44" s="112"/>
      <c r="F44" s="114"/>
      <c r="G44" s="113"/>
      <c r="H44" s="113"/>
      <c r="I44" s="113"/>
      <c r="J44" s="124"/>
      <c r="K44" s="113"/>
      <c r="L44" s="113"/>
    </row>
    <row r="45" spans="4:14" x14ac:dyDescent="0.25">
      <c r="G45" s="16"/>
      <c r="H45" s="16"/>
      <c r="I45" s="16"/>
      <c r="J45" s="16"/>
      <c r="K45" s="16"/>
      <c r="L45" s="16"/>
    </row>
    <row r="46" spans="4:14" x14ac:dyDescent="0.25">
      <c r="J46" s="4"/>
    </row>
  </sheetData>
  <sortState ref="A11:A23">
    <sortCondition ref="A11:A23"/>
  </sortState>
  <mergeCells count="7">
    <mergeCell ref="J42:L42"/>
    <mergeCell ref="D1:K1"/>
    <mergeCell ref="D2:K2"/>
    <mergeCell ref="D3:K3"/>
    <mergeCell ref="H40:I40"/>
    <mergeCell ref="H41:I41"/>
    <mergeCell ref="J41:L41"/>
  </mergeCells>
  <pageMargins left="0.75" right="0.53" top="0.55118110236220474" bottom="0.4" header="0.31496062992125984" footer="0.31496062992125984"/>
  <pageSetup paperSize="5" scale="56" orientation="landscape" r:id="rId1"/>
  <headerFooter>
    <oddFooter>&amp;CDelegados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9"/>
  <sheetViews>
    <sheetView zoomScaleNormal="100" workbookViewId="0">
      <selection activeCell="C4" sqref="C4"/>
    </sheetView>
  </sheetViews>
  <sheetFormatPr baseColWidth="10" defaultColWidth="9.140625" defaultRowHeight="15" x14ac:dyDescent="0.25"/>
  <cols>
    <col min="1" max="1" width="5.5703125" customWidth="1"/>
    <col min="2" max="2" width="39.7109375" bestFit="1" customWidth="1"/>
    <col min="3" max="3" width="34" bestFit="1" customWidth="1"/>
    <col min="4" max="4" width="30" style="16" customWidth="1"/>
  </cols>
  <sheetData>
    <row r="1" spans="1:4" ht="21" customHeight="1" x14ac:dyDescent="0.25">
      <c r="A1" s="20"/>
      <c r="B1" s="255"/>
      <c r="C1" s="255"/>
      <c r="D1" s="255"/>
    </row>
    <row r="2" spans="1:4" ht="21" customHeight="1" x14ac:dyDescent="0.25">
      <c r="A2" s="20"/>
      <c r="B2" s="221"/>
      <c r="C2" s="221"/>
      <c r="D2" s="222"/>
    </row>
    <row r="3" spans="1:4" ht="21" customHeight="1" x14ac:dyDescent="0.25">
      <c r="A3" s="218"/>
      <c r="D3" s="22"/>
    </row>
    <row r="4" spans="1:4" ht="21" customHeight="1" x14ac:dyDescent="0.25">
      <c r="A4" s="218"/>
      <c r="B4" s="226"/>
      <c r="C4" s="226"/>
      <c r="D4" s="227"/>
    </row>
    <row r="5" spans="1:4" ht="30" customHeight="1" x14ac:dyDescent="0.25">
      <c r="A5" s="218"/>
      <c r="B5" s="77"/>
      <c r="D5" s="22"/>
    </row>
    <row r="6" spans="1:4" ht="21" customHeight="1" x14ac:dyDescent="0.25">
      <c r="A6" s="218"/>
      <c r="B6" s="226"/>
      <c r="C6" s="226"/>
      <c r="D6" s="227"/>
    </row>
    <row r="7" spans="1:4" ht="21" customHeight="1" x14ac:dyDescent="0.25">
      <c r="A7" s="218"/>
      <c r="B7" s="77"/>
      <c r="D7" s="22"/>
    </row>
    <row r="8" spans="1:4" ht="21" customHeight="1" x14ac:dyDescent="0.25">
      <c r="A8" s="218"/>
      <c r="B8" s="226"/>
      <c r="C8" s="226"/>
      <c r="D8" s="227"/>
    </row>
    <row r="9" spans="1:4" ht="21" customHeight="1" x14ac:dyDescent="0.25">
      <c r="A9" s="218"/>
      <c r="B9" s="77"/>
      <c r="D9" s="22"/>
    </row>
    <row r="10" spans="1:4" ht="21" customHeight="1" x14ac:dyDescent="0.25">
      <c r="A10" s="218"/>
      <c r="B10" s="226"/>
      <c r="C10" s="226"/>
      <c r="D10" s="227"/>
    </row>
    <row r="11" spans="1:4" ht="21" customHeight="1" x14ac:dyDescent="0.25">
      <c r="A11" s="218"/>
      <c r="B11" s="77"/>
      <c r="D11" s="22"/>
    </row>
    <row r="12" spans="1:4" ht="21" customHeight="1" x14ac:dyDescent="0.25">
      <c r="A12" s="218"/>
      <c r="B12" s="226"/>
      <c r="C12" s="226"/>
      <c r="D12" s="227"/>
    </row>
    <row r="13" spans="1:4" ht="24.75" customHeight="1" x14ac:dyDescent="0.25">
      <c r="A13" s="218"/>
      <c r="B13" s="77"/>
      <c r="D13" s="22"/>
    </row>
    <row r="14" spans="1:4" ht="21" customHeight="1" x14ac:dyDescent="0.25">
      <c r="A14" s="218"/>
      <c r="B14" s="226"/>
      <c r="C14" s="226"/>
      <c r="D14" s="227"/>
    </row>
    <row r="15" spans="1:4" ht="21" customHeight="1" x14ac:dyDescent="0.25">
      <c r="A15" s="218"/>
      <c r="B15" s="77"/>
      <c r="D15" s="22"/>
    </row>
    <row r="16" spans="1:4" ht="21" customHeight="1" x14ac:dyDescent="0.25">
      <c r="B16" s="226"/>
      <c r="C16" s="226"/>
      <c r="D16" s="227"/>
    </row>
    <row r="17" spans="1:4" ht="21" customHeight="1" x14ac:dyDescent="0.25">
      <c r="A17" s="218"/>
      <c r="B17" s="77"/>
      <c r="D17" s="22"/>
    </row>
    <row r="18" spans="1:4" ht="21" customHeight="1" x14ac:dyDescent="0.25">
      <c r="A18" s="218"/>
      <c r="B18" s="226"/>
      <c r="C18" s="226"/>
      <c r="D18" s="227"/>
    </row>
    <row r="19" spans="1:4" ht="21" customHeight="1" x14ac:dyDescent="0.25">
      <c r="A19" s="218"/>
      <c r="D19" s="22"/>
    </row>
    <row r="20" spans="1:4" ht="21" customHeight="1" x14ac:dyDescent="0.25">
      <c r="A20" s="218"/>
      <c r="B20" s="226"/>
      <c r="C20" s="226"/>
      <c r="D20" s="227"/>
    </row>
    <row r="21" spans="1:4" ht="21" customHeight="1" x14ac:dyDescent="0.25">
      <c r="A21" s="218"/>
      <c r="B21" s="77"/>
      <c r="D21" s="22"/>
    </row>
    <row r="22" spans="1:4" ht="21" customHeight="1" x14ac:dyDescent="0.25">
      <c r="A22" s="218"/>
      <c r="B22" s="226"/>
      <c r="C22" s="226"/>
      <c r="D22" s="227"/>
    </row>
    <row r="23" spans="1:4" ht="21" customHeight="1" x14ac:dyDescent="0.25">
      <c r="A23" s="218"/>
      <c r="D23" s="22"/>
    </row>
    <row r="24" spans="1:4" ht="21" customHeight="1" x14ac:dyDescent="0.25">
      <c r="A24" s="218"/>
      <c r="B24" s="226"/>
      <c r="C24" s="226"/>
      <c r="D24" s="227"/>
    </row>
    <row r="25" spans="1:4" ht="30" customHeight="1" x14ac:dyDescent="0.25">
      <c r="A25" s="218"/>
      <c r="B25" s="77"/>
      <c r="D25" s="22"/>
    </row>
    <row r="26" spans="1:4" ht="21" customHeight="1" x14ac:dyDescent="0.25">
      <c r="A26" s="218"/>
      <c r="B26" s="226"/>
      <c r="C26" s="226"/>
      <c r="D26" s="227"/>
    </row>
    <row r="27" spans="1:4" ht="21" customHeight="1" x14ac:dyDescent="0.25">
      <c r="A27" s="218"/>
      <c r="D27" s="22"/>
    </row>
    <row r="28" spans="1:4" ht="21" customHeight="1" x14ac:dyDescent="0.25">
      <c r="A28" s="218"/>
      <c r="B28" s="226"/>
      <c r="C28" s="226"/>
      <c r="D28" s="227"/>
    </row>
    <row r="29" spans="1:4" ht="21" customHeight="1" x14ac:dyDescent="0.25">
      <c r="A29" s="218"/>
      <c r="B29" s="77"/>
      <c r="D29" s="22"/>
    </row>
    <row r="30" spans="1:4" ht="21" customHeight="1" x14ac:dyDescent="0.25">
      <c r="A30" s="218"/>
      <c r="B30" s="226"/>
      <c r="C30" s="226"/>
      <c r="D30" s="227"/>
    </row>
    <row r="31" spans="1:4" ht="21" customHeight="1" x14ac:dyDescent="0.25">
      <c r="A31" s="218"/>
      <c r="B31" s="77"/>
      <c r="D31" s="22"/>
    </row>
    <row r="32" spans="1:4" ht="21" customHeight="1" x14ac:dyDescent="0.25">
      <c r="A32" s="218"/>
      <c r="B32" s="226"/>
      <c r="C32" s="226"/>
      <c r="D32" s="227"/>
    </row>
    <row r="33" spans="1:4" ht="21" customHeight="1" x14ac:dyDescent="0.25">
      <c r="A33" s="218"/>
      <c r="B33" s="77"/>
      <c r="D33" s="22"/>
    </row>
    <row r="34" spans="1:4" ht="21" customHeight="1" x14ac:dyDescent="0.25">
      <c r="A34" s="218"/>
      <c r="B34" s="226"/>
      <c r="C34" s="226"/>
      <c r="D34" s="227"/>
    </row>
    <row r="35" spans="1:4" ht="21" customHeight="1" x14ac:dyDescent="0.25">
      <c r="A35" s="218"/>
      <c r="B35" s="77"/>
      <c r="D35" s="22"/>
    </row>
    <row r="36" spans="1:4" ht="21" customHeight="1" x14ac:dyDescent="0.25">
      <c r="A36" s="218"/>
      <c r="B36" s="226"/>
      <c r="C36" s="226"/>
      <c r="D36" s="227"/>
    </row>
    <row r="37" spans="1:4" ht="21" customHeight="1" x14ac:dyDescent="0.25">
      <c r="A37" s="218"/>
      <c r="B37" s="77"/>
      <c r="D37" s="22"/>
    </row>
    <row r="38" spans="1:4" ht="21" customHeight="1" x14ac:dyDescent="0.25">
      <c r="A38" s="218"/>
      <c r="B38" s="226"/>
      <c r="C38" s="226"/>
      <c r="D38" s="227"/>
    </row>
    <row r="39" spans="1:4" ht="21" customHeight="1" x14ac:dyDescent="0.25">
      <c r="A39" s="218"/>
      <c r="B39" s="77"/>
      <c r="D39" s="22"/>
    </row>
    <row r="40" spans="1:4" ht="21" customHeight="1" x14ac:dyDescent="0.25">
      <c r="A40" s="218"/>
      <c r="B40" s="226"/>
      <c r="C40" s="226"/>
      <c r="D40" s="227"/>
    </row>
    <row r="41" spans="1:4" ht="21" customHeight="1" x14ac:dyDescent="0.25">
      <c r="A41" s="218"/>
      <c r="B41" s="77"/>
      <c r="D41" s="22"/>
    </row>
    <row r="42" spans="1:4" ht="21" customHeight="1" x14ac:dyDescent="0.25">
      <c r="A42" s="218"/>
      <c r="B42" s="226"/>
      <c r="C42" s="226"/>
      <c r="D42" s="227"/>
    </row>
    <row r="43" spans="1:4" ht="21" customHeight="1" x14ac:dyDescent="0.25">
      <c r="A43" s="218"/>
      <c r="B43" s="77"/>
      <c r="D43" s="22"/>
    </row>
    <row r="44" spans="1:4" ht="21" customHeight="1" x14ac:dyDescent="0.25">
      <c r="A44" s="218"/>
      <c r="B44" s="226"/>
      <c r="C44" s="226"/>
      <c r="D44" s="227"/>
    </row>
    <row r="45" spans="1:4" ht="21" customHeight="1" x14ac:dyDescent="0.25">
      <c r="A45" s="218"/>
      <c r="D45" s="22"/>
    </row>
    <row r="46" spans="1:4" ht="21" customHeight="1" x14ac:dyDescent="0.25">
      <c r="A46" s="218"/>
      <c r="B46" s="226"/>
      <c r="C46" s="226"/>
      <c r="D46" s="227"/>
    </row>
    <row r="47" spans="1:4" ht="21" customHeight="1" x14ac:dyDescent="0.25">
      <c r="A47" s="218"/>
      <c r="B47" s="77"/>
      <c r="D47" s="22"/>
    </row>
    <row r="48" spans="1:4" ht="21" customHeight="1" x14ac:dyDescent="0.25">
      <c r="A48" s="218"/>
      <c r="B48" s="226"/>
      <c r="C48" s="226"/>
      <c r="D48" s="227"/>
    </row>
    <row r="49" spans="1:4" ht="21" customHeight="1" x14ac:dyDescent="0.25">
      <c r="A49" s="218"/>
      <c r="B49" s="77"/>
      <c r="D49" s="22"/>
    </row>
    <row r="50" spans="1:4" ht="21" customHeight="1" x14ac:dyDescent="0.25">
      <c r="A50" s="218"/>
      <c r="B50" s="226"/>
      <c r="C50" s="226"/>
      <c r="D50" s="227"/>
    </row>
    <row r="51" spans="1:4" ht="21" customHeight="1" x14ac:dyDescent="0.25">
      <c r="A51" s="218"/>
      <c r="D51" s="22"/>
    </row>
    <row r="52" spans="1:4" ht="21" customHeight="1" x14ac:dyDescent="0.25">
      <c r="A52" s="218"/>
      <c r="B52" s="226"/>
      <c r="C52" s="226"/>
      <c r="D52" s="227"/>
    </row>
    <row r="53" spans="1:4" ht="21" customHeight="1" x14ac:dyDescent="0.25">
      <c r="A53" s="218"/>
      <c r="B53" s="77"/>
      <c r="D53" s="22"/>
    </row>
    <row r="54" spans="1:4" ht="21" customHeight="1" x14ac:dyDescent="0.25">
      <c r="A54" s="218"/>
      <c r="B54" s="226"/>
      <c r="C54" s="226"/>
      <c r="D54" s="227"/>
    </row>
    <row r="55" spans="1:4" ht="21" customHeight="1" x14ac:dyDescent="0.25">
      <c r="A55" s="218"/>
      <c r="B55" s="77"/>
      <c r="D55" s="22"/>
    </row>
    <row r="56" spans="1:4" ht="21" customHeight="1" x14ac:dyDescent="0.25">
      <c r="A56" s="218"/>
      <c r="B56" s="226"/>
      <c r="C56" s="226"/>
      <c r="D56" s="227"/>
    </row>
    <row r="57" spans="1:4" ht="21" customHeight="1" x14ac:dyDescent="0.25">
      <c r="A57" s="218"/>
      <c r="D57" s="22"/>
    </row>
    <row r="58" spans="1:4" ht="21" customHeight="1" x14ac:dyDescent="0.25">
      <c r="A58" s="218"/>
      <c r="B58" s="226"/>
      <c r="C58" s="226"/>
      <c r="D58" s="227"/>
    </row>
    <row r="59" spans="1:4" ht="21" customHeight="1" x14ac:dyDescent="0.25">
      <c r="A59" s="218"/>
      <c r="B59" s="77"/>
      <c r="D59" s="22"/>
    </row>
    <row r="60" spans="1:4" ht="21" customHeight="1" x14ac:dyDescent="0.25">
      <c r="A60" s="218"/>
      <c r="B60" s="226"/>
      <c r="C60" s="226"/>
      <c r="D60" s="227"/>
    </row>
    <row r="61" spans="1:4" ht="21" customHeight="1" x14ac:dyDescent="0.25">
      <c r="A61" s="218"/>
      <c r="B61" s="77"/>
      <c r="D61" s="22"/>
    </row>
    <row r="62" spans="1:4" ht="21" customHeight="1" x14ac:dyDescent="0.25">
      <c r="A62" s="218"/>
      <c r="B62" s="226"/>
      <c r="C62" s="226"/>
      <c r="D62" s="227"/>
    </row>
    <row r="63" spans="1:4" ht="21" customHeight="1" x14ac:dyDescent="0.25">
      <c r="A63" s="218"/>
      <c r="D63" s="22"/>
    </row>
    <row r="64" spans="1:4" ht="21" customHeight="1" x14ac:dyDescent="0.25">
      <c r="A64" s="218"/>
      <c r="B64" s="226"/>
      <c r="C64" s="226"/>
      <c r="D64" s="227"/>
    </row>
    <row r="65" spans="1:4" ht="31.5" customHeight="1" x14ac:dyDescent="0.25">
      <c r="A65" s="218"/>
      <c r="B65" s="77"/>
      <c r="D65" s="22"/>
    </row>
    <row r="66" spans="1:4" ht="21" customHeight="1" x14ac:dyDescent="0.25">
      <c r="A66" s="218"/>
      <c r="B66" s="226"/>
      <c r="C66" s="226"/>
      <c r="D66" s="227"/>
    </row>
    <row r="67" spans="1:4" ht="21" customHeight="1" x14ac:dyDescent="0.25">
      <c r="A67" s="218"/>
      <c r="B67" s="77"/>
      <c r="D67" s="22"/>
    </row>
    <row r="68" spans="1:4" ht="21" customHeight="1" x14ac:dyDescent="0.25">
      <c r="A68" s="218"/>
      <c r="B68" s="226"/>
      <c r="C68" s="226"/>
      <c r="D68" s="227"/>
    </row>
    <row r="69" spans="1:4" ht="21" customHeight="1" x14ac:dyDescent="0.25">
      <c r="A69" s="218"/>
      <c r="D69" s="22"/>
    </row>
    <row r="70" spans="1:4" ht="21" customHeight="1" x14ac:dyDescent="0.25">
      <c r="A70" s="218"/>
      <c r="B70" s="223"/>
      <c r="C70" s="223"/>
      <c r="D70" s="224"/>
    </row>
    <row r="71" spans="1:4" ht="21" customHeight="1" x14ac:dyDescent="0.25">
      <c r="A71" s="218"/>
      <c r="D71" s="22"/>
    </row>
    <row r="72" spans="1:4" ht="21" customHeight="1" x14ac:dyDescent="0.25">
      <c r="A72" s="218"/>
      <c r="B72" s="225"/>
      <c r="C72" s="223"/>
      <c r="D72" s="224"/>
    </row>
    <row r="73" spans="1:4" ht="21" customHeight="1" x14ac:dyDescent="0.25">
      <c r="A73" s="218"/>
      <c r="D73" s="22"/>
    </row>
    <row r="74" spans="1:4" ht="21" customHeight="1" x14ac:dyDescent="0.25">
      <c r="A74" s="218"/>
      <c r="B74" s="223"/>
      <c r="C74" s="223"/>
      <c r="D74" s="224"/>
    </row>
    <row r="75" spans="1:4" ht="21" customHeight="1" x14ac:dyDescent="0.25">
      <c r="A75" s="218"/>
      <c r="D75" s="22"/>
    </row>
    <row r="76" spans="1:4" ht="21" customHeight="1" x14ac:dyDescent="0.25">
      <c r="A76" s="218"/>
      <c r="B76" s="223"/>
      <c r="C76" s="223"/>
      <c r="D76" s="224"/>
    </row>
    <row r="77" spans="1:4" ht="21" customHeight="1" x14ac:dyDescent="0.25">
      <c r="A77" s="218"/>
      <c r="B77" s="77"/>
      <c r="D77" s="22"/>
    </row>
    <row r="78" spans="1:4" ht="21" customHeight="1" x14ac:dyDescent="0.25">
      <c r="A78" s="218"/>
      <c r="B78" s="225"/>
      <c r="C78" s="223"/>
      <c r="D78" s="224"/>
    </row>
    <row r="79" spans="1:4" ht="21" customHeight="1" x14ac:dyDescent="0.25">
      <c r="A79" s="218"/>
      <c r="B79" s="77"/>
      <c r="D79" s="22"/>
    </row>
    <row r="80" spans="1:4" ht="21" customHeight="1" x14ac:dyDescent="0.25">
      <c r="A80" s="218"/>
      <c r="B80" s="225"/>
      <c r="C80" s="223"/>
      <c r="D80" s="224"/>
    </row>
    <row r="81" spans="1:4" ht="21" customHeight="1" x14ac:dyDescent="0.25">
      <c r="A81" s="218"/>
      <c r="B81" s="77"/>
      <c r="D81" s="22"/>
    </row>
    <row r="82" spans="1:4" ht="21" customHeight="1" x14ac:dyDescent="0.25">
      <c r="A82" s="218"/>
      <c r="B82" s="225"/>
      <c r="C82" s="223"/>
      <c r="D82" s="224"/>
    </row>
    <row r="83" spans="1:4" ht="21" customHeight="1" x14ac:dyDescent="0.25">
      <c r="A83" s="218"/>
      <c r="B83" s="77"/>
      <c r="D83" s="22"/>
    </row>
    <row r="84" spans="1:4" ht="21" customHeight="1" x14ac:dyDescent="0.25">
      <c r="A84" s="218"/>
      <c r="B84" s="225"/>
      <c r="C84" s="223"/>
      <c r="D84" s="224"/>
    </row>
    <row r="85" spans="1:4" ht="21" customHeight="1" x14ac:dyDescent="0.25">
      <c r="A85" s="218"/>
      <c r="B85" s="77"/>
      <c r="D85" s="22"/>
    </row>
    <row r="86" spans="1:4" ht="21" customHeight="1" x14ac:dyDescent="0.25">
      <c r="A86" s="218"/>
      <c r="B86" s="225"/>
      <c r="C86" s="223"/>
      <c r="D86" s="224"/>
    </row>
    <row r="87" spans="1:4" ht="21" customHeight="1" x14ac:dyDescent="0.25">
      <c r="A87" s="218"/>
      <c r="B87" s="77"/>
      <c r="D87" s="22"/>
    </row>
    <row r="88" spans="1:4" ht="21" customHeight="1" x14ac:dyDescent="0.25">
      <c r="A88" s="218"/>
      <c r="B88" s="223"/>
      <c r="C88" s="223"/>
      <c r="D88" s="224"/>
    </row>
    <row r="89" spans="1:4" ht="21" customHeight="1" x14ac:dyDescent="0.25">
      <c r="A89" s="218"/>
      <c r="D89" s="22"/>
    </row>
    <row r="90" spans="1:4" ht="21" customHeight="1" x14ac:dyDescent="0.25">
      <c r="A90" s="218"/>
      <c r="B90" s="225"/>
      <c r="C90" s="223"/>
      <c r="D90" s="224"/>
    </row>
    <row r="91" spans="1:4" ht="21" customHeight="1" x14ac:dyDescent="0.25">
      <c r="A91" s="218"/>
      <c r="D91" s="22"/>
    </row>
    <row r="92" spans="1:4" ht="21" customHeight="1" x14ac:dyDescent="0.25">
      <c r="A92" s="218"/>
      <c r="B92" s="223"/>
      <c r="C92" s="223"/>
      <c r="D92" s="224"/>
    </row>
    <row r="93" spans="1:4" ht="21" customHeight="1" x14ac:dyDescent="0.25">
      <c r="A93" s="218"/>
      <c r="D93" s="22"/>
    </row>
    <row r="94" spans="1:4" ht="21" customHeight="1" x14ac:dyDescent="0.25">
      <c r="A94" s="218"/>
      <c r="B94" s="223"/>
      <c r="C94" s="223"/>
      <c r="D94" s="224"/>
    </row>
    <row r="95" spans="1:4" ht="21" customHeight="1" x14ac:dyDescent="0.25">
      <c r="A95" s="218"/>
      <c r="D95" s="22"/>
    </row>
    <row r="96" spans="1:4" ht="21" customHeight="1" x14ac:dyDescent="0.25">
      <c r="A96" s="218"/>
      <c r="B96" s="225"/>
      <c r="C96" s="223"/>
      <c r="D96" s="224"/>
    </row>
    <row r="97" spans="1:4" ht="21" customHeight="1" x14ac:dyDescent="0.25">
      <c r="A97" s="218"/>
      <c r="D97" s="22"/>
    </row>
    <row r="98" spans="1:4" x14ac:dyDescent="0.25">
      <c r="A98" s="218"/>
      <c r="D98" s="22"/>
    </row>
    <row r="99" spans="1:4" ht="18.75" x14ac:dyDescent="0.3">
      <c r="A99" s="218"/>
      <c r="C99" s="138"/>
      <c r="D99" s="219"/>
    </row>
  </sheetData>
  <mergeCells count="1">
    <mergeCell ref="B1:D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1:M76"/>
  <sheetViews>
    <sheetView workbookViewId="0">
      <selection activeCell="D28" sqref="D28:E28"/>
    </sheetView>
  </sheetViews>
  <sheetFormatPr baseColWidth="10" defaultRowHeight="15" x14ac:dyDescent="0.25"/>
  <cols>
    <col min="3" max="3" width="17.28515625" customWidth="1"/>
    <col min="4" max="4" width="40.85546875" customWidth="1"/>
    <col min="5" max="5" width="19.5703125" customWidth="1"/>
    <col min="6" max="7" width="20.140625" customWidth="1"/>
    <col min="8" max="8" width="43" customWidth="1"/>
    <col min="9" max="9" width="29.85546875" customWidth="1"/>
    <col min="10" max="10" width="17.5703125" customWidth="1"/>
    <col min="11" max="13" width="11.42578125" customWidth="1"/>
    <col min="15" max="15" width="11.42578125" customWidth="1"/>
  </cols>
  <sheetData>
    <row r="1" spans="3:12" ht="21" x14ac:dyDescent="0.35">
      <c r="H1" s="252" t="s">
        <v>340</v>
      </c>
      <c r="I1" s="252"/>
      <c r="J1" s="252"/>
    </row>
    <row r="3" spans="3:12" ht="15.75" x14ac:dyDescent="0.25">
      <c r="D3" s="256" t="s">
        <v>287</v>
      </c>
      <c r="E3" s="256"/>
      <c r="F3" s="13"/>
      <c r="G3" s="13"/>
      <c r="H3" s="125" t="s">
        <v>339</v>
      </c>
      <c r="I3" s="39"/>
      <c r="J3" s="39"/>
    </row>
    <row r="4" spans="3:12" ht="15.75" x14ac:dyDescent="0.25">
      <c r="H4" s="39" t="s">
        <v>338</v>
      </c>
      <c r="I4" s="39"/>
      <c r="J4" s="55">
        <f>+CONFIANZA!L113</f>
        <v>5052.9016000000001</v>
      </c>
    </row>
    <row r="5" spans="3:12" ht="18.75" x14ac:dyDescent="0.3">
      <c r="C5" s="24"/>
      <c r="D5" s="6"/>
      <c r="E5" s="42"/>
      <c r="F5" s="42"/>
      <c r="G5" s="42"/>
      <c r="H5" s="39"/>
      <c r="I5" s="65"/>
      <c r="J5" s="130">
        <f>SUM(J4:J4)</f>
        <v>5052.9016000000001</v>
      </c>
      <c r="L5" s="12"/>
    </row>
    <row r="6" spans="3:12" ht="15.75" x14ac:dyDescent="0.25">
      <c r="C6" s="24"/>
      <c r="D6" s="41" t="s">
        <v>263</v>
      </c>
      <c r="E6" s="42"/>
      <c r="F6" s="42"/>
      <c r="G6" s="42"/>
      <c r="H6" s="39"/>
      <c r="I6" s="65"/>
      <c r="J6" s="55"/>
    </row>
    <row r="7" spans="3:12" ht="15.75" x14ac:dyDescent="0.25">
      <c r="C7" s="24">
        <v>1074</v>
      </c>
      <c r="D7" t="s">
        <v>281</v>
      </c>
      <c r="E7" s="17">
        <f>+eventual!J114</f>
        <v>3434.4</v>
      </c>
      <c r="F7" s="17"/>
      <c r="G7" s="17"/>
      <c r="H7" s="125" t="s">
        <v>472</v>
      </c>
      <c r="I7" s="65"/>
      <c r="J7" s="55"/>
    </row>
    <row r="8" spans="3:12" ht="15.75" x14ac:dyDescent="0.25">
      <c r="C8" s="24"/>
      <c r="E8" s="17"/>
      <c r="F8" s="17"/>
      <c r="G8" s="17"/>
      <c r="H8" s="81" t="s">
        <v>364</v>
      </c>
      <c r="I8" s="81" t="s">
        <v>17</v>
      </c>
      <c r="J8" s="54">
        <f>+seg.pub.2022!Q43</f>
        <v>5438.6415999999999</v>
      </c>
    </row>
    <row r="9" spans="3:12" ht="15.75" x14ac:dyDescent="0.25">
      <c r="C9" s="24"/>
      <c r="E9" s="127">
        <f>SUM(E7:E8)</f>
        <v>3434.4</v>
      </c>
      <c r="F9" s="40"/>
      <c r="G9" s="40"/>
      <c r="H9" s="81" t="s">
        <v>386</v>
      </c>
      <c r="I9" s="81" t="s">
        <v>17</v>
      </c>
      <c r="J9" s="54">
        <f>+seg.pub.2022!Q46</f>
        <v>5438.6415999999999</v>
      </c>
    </row>
    <row r="10" spans="3:12" ht="15.75" x14ac:dyDescent="0.25">
      <c r="C10" s="24"/>
      <c r="E10" s="40"/>
      <c r="F10" s="40"/>
      <c r="G10" s="40"/>
      <c r="H10" s="81" t="s">
        <v>365</v>
      </c>
      <c r="I10" s="81" t="s">
        <v>17</v>
      </c>
      <c r="J10" s="54">
        <f>+seg.pub.2022!Q44</f>
        <v>5438.6415999999999</v>
      </c>
    </row>
    <row r="11" spans="3:12" ht="15.75" x14ac:dyDescent="0.25">
      <c r="C11" s="24"/>
      <c r="E11" s="40"/>
      <c r="F11" s="40"/>
      <c r="G11" s="40"/>
      <c r="H11" s="81" t="s">
        <v>471</v>
      </c>
      <c r="I11" s="81" t="s">
        <v>17</v>
      </c>
      <c r="J11" s="215">
        <f>+seg.pub.2022!Q37</f>
        <v>5438.6415999999999</v>
      </c>
    </row>
    <row r="12" spans="3:12" ht="15.75" x14ac:dyDescent="0.25">
      <c r="C12" s="24"/>
      <c r="D12" s="41" t="s">
        <v>266</v>
      </c>
      <c r="E12" s="40"/>
      <c r="F12" s="40"/>
      <c r="G12" s="40"/>
      <c r="H12" s="81" t="s">
        <v>304</v>
      </c>
      <c r="I12" s="81" t="s">
        <v>17</v>
      </c>
      <c r="J12" s="215">
        <f>+seg.pub.2022!Q30</f>
        <v>5438.6415999999999</v>
      </c>
      <c r="K12" s="12"/>
    </row>
    <row r="13" spans="3:12" ht="15.75" x14ac:dyDescent="0.25">
      <c r="C13" s="24"/>
      <c r="D13" t="s">
        <v>152</v>
      </c>
      <c r="E13" s="17">
        <f>+CONFIANZA!L31</f>
        <v>6842.5607760000003</v>
      </c>
      <c r="F13" s="40"/>
      <c r="G13" s="40"/>
      <c r="H13" s="81" t="s">
        <v>500</v>
      </c>
      <c r="I13" s="81" t="s">
        <v>17</v>
      </c>
      <c r="J13" s="215">
        <f>+seg.pub.2022!Q20</f>
        <v>5438.6415999999999</v>
      </c>
    </row>
    <row r="14" spans="3:12" ht="18.75" x14ac:dyDescent="0.3">
      <c r="C14" s="24"/>
      <c r="D14" t="s">
        <v>151</v>
      </c>
      <c r="E14" s="17">
        <f>+CONFIANZA!L8</f>
        <v>21536.682000000001</v>
      </c>
      <c r="F14" s="40"/>
      <c r="G14" s="40"/>
      <c r="I14" s="81" t="s">
        <v>486</v>
      </c>
      <c r="J14" s="128">
        <f>SUM(J8:J13)</f>
        <v>32631.849599999998</v>
      </c>
    </row>
    <row r="15" spans="3:12" ht="18.75" x14ac:dyDescent="0.3">
      <c r="C15" s="24"/>
      <c r="D15" t="s">
        <v>177</v>
      </c>
      <c r="E15" s="17">
        <f>+CONFIANZA!L30</f>
        <v>13892.2032</v>
      </c>
      <c r="F15" s="40"/>
      <c r="G15" s="40"/>
      <c r="J15" s="130"/>
    </row>
    <row r="16" spans="3:12" x14ac:dyDescent="0.25">
      <c r="C16" s="24"/>
      <c r="E16" s="127">
        <f>SUM(E13:E15)</f>
        <v>42271.445976000003</v>
      </c>
      <c r="F16" s="40"/>
      <c r="G16" s="40"/>
    </row>
    <row r="17" spans="3:13" ht="15.75" x14ac:dyDescent="0.25">
      <c r="C17" s="24"/>
      <c r="E17" s="40"/>
      <c r="F17" s="40"/>
      <c r="G17" s="40"/>
      <c r="H17" s="125" t="s">
        <v>306</v>
      </c>
      <c r="I17" s="39"/>
      <c r="J17" s="55"/>
    </row>
    <row r="18" spans="3:13" ht="15.75" x14ac:dyDescent="0.25">
      <c r="C18" s="24"/>
      <c r="D18" s="41" t="s">
        <v>306</v>
      </c>
      <c r="E18" s="40"/>
      <c r="F18" s="40"/>
      <c r="G18" s="40"/>
      <c r="H18" s="39" t="s">
        <v>303</v>
      </c>
      <c r="I18" s="39"/>
      <c r="J18" s="55">
        <f>+'delegados 2022'!J9</f>
        <v>1188</v>
      </c>
    </row>
    <row r="19" spans="3:13" ht="15.75" x14ac:dyDescent="0.25">
      <c r="C19" s="24"/>
      <c r="F19" s="40"/>
      <c r="G19" s="40"/>
      <c r="H19" s="39" t="s">
        <v>165</v>
      </c>
      <c r="J19" s="55">
        <f>+'delegados 2022'!J11</f>
        <v>1188</v>
      </c>
    </row>
    <row r="20" spans="3:13" ht="15.75" x14ac:dyDescent="0.25">
      <c r="C20" s="24"/>
      <c r="E20" s="40">
        <v>0</v>
      </c>
      <c r="F20" s="40"/>
      <c r="G20" s="40"/>
      <c r="H20" s="39" t="s">
        <v>238</v>
      </c>
      <c r="J20" s="55">
        <v>1188</v>
      </c>
      <c r="L20" s="17"/>
    </row>
    <row r="21" spans="3:13" ht="15.75" x14ac:dyDescent="0.25">
      <c r="C21" s="24"/>
      <c r="E21" s="40"/>
      <c r="F21" s="17"/>
      <c r="G21" s="17"/>
      <c r="H21" s="39" t="s">
        <v>296</v>
      </c>
      <c r="J21" s="55">
        <v>1188</v>
      </c>
    </row>
    <row r="22" spans="3:13" ht="15.75" x14ac:dyDescent="0.25">
      <c r="C22" s="24"/>
      <c r="D22" s="41" t="s">
        <v>267</v>
      </c>
      <c r="E22" s="40"/>
      <c r="F22" s="17"/>
      <c r="G22" s="17"/>
      <c r="H22" s="39" t="s">
        <v>239</v>
      </c>
      <c r="J22" s="55">
        <v>1188</v>
      </c>
    </row>
    <row r="23" spans="3:13" ht="15.75" x14ac:dyDescent="0.25">
      <c r="C23">
        <v>3141</v>
      </c>
      <c r="D23" t="s">
        <v>268</v>
      </c>
      <c r="E23" s="17">
        <f>+SINDICATO!O13</f>
        <v>6949.0211519999993</v>
      </c>
      <c r="F23" s="40"/>
      <c r="G23" s="17"/>
      <c r="H23" s="39" t="s">
        <v>297</v>
      </c>
      <c r="J23" s="55">
        <v>1188</v>
      </c>
    </row>
    <row r="24" spans="3:13" ht="15.75" x14ac:dyDescent="0.25">
      <c r="C24" s="24"/>
      <c r="D24" t="s">
        <v>269</v>
      </c>
      <c r="E24" s="17">
        <f>+SINDICATO!O43</f>
        <v>3760.5591200000003</v>
      </c>
      <c r="F24" s="40"/>
      <c r="G24" s="40"/>
      <c r="H24" s="39" t="s">
        <v>237</v>
      </c>
      <c r="J24" s="55">
        <v>1188</v>
      </c>
      <c r="M24" s="17"/>
    </row>
    <row r="25" spans="3:13" ht="15.75" x14ac:dyDescent="0.25">
      <c r="C25" s="24"/>
      <c r="D25" t="s">
        <v>294</v>
      </c>
      <c r="E25" s="17">
        <f>+SINDICATO!O59</f>
        <v>4439.05224</v>
      </c>
      <c r="F25" s="40"/>
      <c r="G25" s="40"/>
      <c r="H25" s="39" t="s">
        <v>175</v>
      </c>
      <c r="J25" s="55">
        <v>1188</v>
      </c>
    </row>
    <row r="26" spans="3:13" ht="15.75" x14ac:dyDescent="0.25">
      <c r="C26" s="24"/>
      <c r="D26" t="s">
        <v>270</v>
      </c>
      <c r="E26" s="17">
        <f>+SINDICATO!O47</f>
        <v>3580.3071199999999</v>
      </c>
      <c r="G26" s="40"/>
      <c r="H26" s="39" t="s">
        <v>240</v>
      </c>
      <c r="J26" s="55">
        <v>1188</v>
      </c>
    </row>
    <row r="27" spans="3:13" ht="15.75" x14ac:dyDescent="0.25">
      <c r="C27" s="24"/>
      <c r="D27" t="s">
        <v>479</v>
      </c>
      <c r="E27" s="12">
        <f>+SINDICATO!O51</f>
        <v>2706.1329599999999</v>
      </c>
      <c r="F27" s="40"/>
      <c r="H27" s="39" t="s">
        <v>307</v>
      </c>
      <c r="J27" s="55">
        <v>1188</v>
      </c>
    </row>
    <row r="28" spans="3:13" ht="15.75" x14ac:dyDescent="0.25">
      <c r="C28" s="24"/>
      <c r="D28" t="s">
        <v>511</v>
      </c>
      <c r="E28" s="12">
        <f>+SINDICATO!O14</f>
        <v>6388.2667199999996</v>
      </c>
      <c r="F28" s="40"/>
      <c r="G28" s="40"/>
      <c r="H28" s="39" t="s">
        <v>299</v>
      </c>
      <c r="J28" s="55">
        <v>1188</v>
      </c>
    </row>
    <row r="29" spans="3:13" ht="15.75" x14ac:dyDescent="0.25">
      <c r="E29" s="40">
        <f>E23+E24+E25+E26+E27+E28</f>
        <v>27823.339312</v>
      </c>
      <c r="F29" s="40"/>
      <c r="G29" s="40"/>
      <c r="H29" s="39" t="s">
        <v>301</v>
      </c>
      <c r="J29" s="55">
        <v>1188</v>
      </c>
    </row>
    <row r="30" spans="3:13" ht="15.75" x14ac:dyDescent="0.25">
      <c r="C30" s="24"/>
      <c r="F30" s="17"/>
      <c r="G30" s="40"/>
      <c r="H30" s="39" t="s">
        <v>241</v>
      </c>
      <c r="J30" s="55">
        <v>1188</v>
      </c>
      <c r="L30" s="17">
        <f>$E$14*4</f>
        <v>86146.728000000003</v>
      </c>
    </row>
    <row r="31" spans="3:13" ht="18.75" x14ac:dyDescent="0.3">
      <c r="C31" s="24"/>
      <c r="F31" s="17"/>
      <c r="G31" s="17"/>
      <c r="J31" s="128">
        <f>SUM(J18:J30)</f>
        <v>15444</v>
      </c>
      <c r="K31" s="17"/>
    </row>
    <row r="32" spans="3:13" x14ac:dyDescent="0.25">
      <c r="C32" s="24">
        <v>23</v>
      </c>
      <c r="D32" s="16" t="s">
        <v>275</v>
      </c>
      <c r="E32" s="43">
        <f>E9+E16+E29</f>
        <v>73529.185288000008</v>
      </c>
      <c r="F32" s="17"/>
      <c r="G32" s="17"/>
      <c r="J32" s="17"/>
    </row>
    <row r="33" spans="3:12" ht="15.75" x14ac:dyDescent="0.25">
      <c r="C33" s="24"/>
      <c r="F33" s="17"/>
      <c r="G33" s="17"/>
      <c r="H33" s="125" t="s">
        <v>388</v>
      </c>
      <c r="I33" s="39"/>
      <c r="J33" s="39"/>
    </row>
    <row r="34" spans="3:12" ht="15.75" x14ac:dyDescent="0.25">
      <c r="C34" s="24"/>
      <c r="G34" s="17"/>
      <c r="H34" t="s">
        <v>345</v>
      </c>
      <c r="I34" s="39"/>
      <c r="J34" s="55">
        <f>+eventual!J13</f>
        <v>3071.56</v>
      </c>
    </row>
    <row r="35" spans="3:12" ht="18.75" x14ac:dyDescent="0.3">
      <c r="C35" s="24"/>
      <c r="F35" s="43"/>
      <c r="G35" s="40"/>
      <c r="I35" s="39"/>
      <c r="J35" s="128">
        <f>+J34</f>
        <v>3071.56</v>
      </c>
    </row>
    <row r="36" spans="3:12" x14ac:dyDescent="0.25">
      <c r="C36" s="24"/>
    </row>
    <row r="37" spans="3:12" x14ac:dyDescent="0.25">
      <c r="C37" s="24"/>
      <c r="G37" s="43"/>
      <c r="H37" s="16"/>
    </row>
    <row r="38" spans="3:12" x14ac:dyDescent="0.25">
      <c r="C38" s="24"/>
    </row>
    <row r="39" spans="3:12" x14ac:dyDescent="0.25">
      <c r="C39" s="24"/>
      <c r="F39" s="17"/>
      <c r="H39" s="174" t="s">
        <v>446</v>
      </c>
      <c r="I39" s="3"/>
    </row>
    <row r="40" spans="3:12" x14ac:dyDescent="0.25">
      <c r="C40" s="24"/>
      <c r="H40" t="s">
        <v>415</v>
      </c>
      <c r="I40" s="3"/>
      <c r="J40" s="12">
        <f>+eventual!J55</f>
        <v>2289.6</v>
      </c>
    </row>
    <row r="41" spans="3:12" x14ac:dyDescent="0.25">
      <c r="C41" s="24"/>
      <c r="H41" t="s">
        <v>416</v>
      </c>
      <c r="I41" s="40"/>
      <c r="J41" s="12">
        <f>+eventual!J113</f>
        <v>4320</v>
      </c>
    </row>
    <row r="42" spans="3:12" x14ac:dyDescent="0.25">
      <c r="C42" s="24"/>
      <c r="H42" t="s">
        <v>447</v>
      </c>
      <c r="J42" s="12">
        <f>+eventual!J70</f>
        <v>3434.4</v>
      </c>
    </row>
    <row r="43" spans="3:12" x14ac:dyDescent="0.25">
      <c r="H43" t="s">
        <v>418</v>
      </c>
      <c r="J43" s="12">
        <f>+eventual!J26</f>
        <v>4752</v>
      </c>
    </row>
    <row r="44" spans="3:12" x14ac:dyDescent="0.25">
      <c r="H44" t="s">
        <v>419</v>
      </c>
      <c r="J44" s="12">
        <f>+eventual!J54</f>
        <v>2764.8</v>
      </c>
      <c r="L44" s="12"/>
    </row>
    <row r="45" spans="3:12" hidden="1" x14ac:dyDescent="0.25">
      <c r="J45" s="12"/>
    </row>
    <row r="46" spans="3:12" x14ac:dyDescent="0.25">
      <c r="H46" t="s">
        <v>421</v>
      </c>
      <c r="J46" s="12">
        <f>+eventual!J53</f>
        <v>1555.2</v>
      </c>
    </row>
    <row r="47" spans="3:12" x14ac:dyDescent="0.25">
      <c r="H47" t="s">
        <v>422</v>
      </c>
      <c r="J47" s="12">
        <f>+eventual!J66</f>
        <v>5184</v>
      </c>
    </row>
    <row r="48" spans="3:12" hidden="1" x14ac:dyDescent="0.25">
      <c r="J48" s="12">
        <f>+eventual!J112</f>
        <v>0</v>
      </c>
    </row>
    <row r="49" spans="8:13" x14ac:dyDescent="0.25">
      <c r="H49" t="s">
        <v>424</v>
      </c>
      <c r="J49" s="230" t="s">
        <v>509</v>
      </c>
    </row>
    <row r="50" spans="8:13" x14ac:dyDescent="0.25">
      <c r="H50" t="s">
        <v>448</v>
      </c>
      <c r="J50" s="12">
        <f>+eventual!J159</f>
        <v>3024</v>
      </c>
    </row>
    <row r="51" spans="8:13" x14ac:dyDescent="0.25">
      <c r="H51" t="s">
        <v>426</v>
      </c>
      <c r="J51" s="12">
        <f>+eventual!J49</f>
        <v>2518.56</v>
      </c>
      <c r="L51" s="12"/>
    </row>
    <row r="52" spans="8:13" x14ac:dyDescent="0.25">
      <c r="H52" t="s">
        <v>449</v>
      </c>
      <c r="J52" s="12">
        <f>+eventual!J24</f>
        <v>5288</v>
      </c>
    </row>
    <row r="53" spans="8:13" x14ac:dyDescent="0.25">
      <c r="H53" t="s">
        <v>429</v>
      </c>
      <c r="J53" s="12">
        <f>+eventual!J25</f>
        <v>3240</v>
      </c>
      <c r="M53" s="188"/>
    </row>
    <row r="54" spans="8:13" hidden="1" x14ac:dyDescent="0.25">
      <c r="J54" s="12"/>
      <c r="L54" s="188"/>
      <c r="M54" s="188"/>
    </row>
    <row r="55" spans="8:13" x14ac:dyDescent="0.25">
      <c r="H55" t="s">
        <v>450</v>
      </c>
      <c r="J55" s="12">
        <f>+eventual!J67</f>
        <v>3434.4</v>
      </c>
      <c r="L55" s="188"/>
      <c r="M55" s="188"/>
    </row>
    <row r="56" spans="8:13" x14ac:dyDescent="0.25">
      <c r="H56" t="s">
        <v>432</v>
      </c>
      <c r="J56" s="12">
        <f>+eventual!J23</f>
        <v>2862</v>
      </c>
      <c r="L56" s="188"/>
      <c r="M56" s="188"/>
    </row>
    <row r="57" spans="8:13" x14ac:dyDescent="0.25">
      <c r="H57" t="s">
        <v>433</v>
      </c>
      <c r="J57" s="12">
        <f>+eventual!J111</f>
        <v>4752</v>
      </c>
      <c r="L57" s="188"/>
      <c r="M57" s="188"/>
    </row>
    <row r="58" spans="8:13" x14ac:dyDescent="0.25">
      <c r="H58" t="s">
        <v>470</v>
      </c>
      <c r="J58" s="12">
        <f>+eventual!J52</f>
        <v>2518.56</v>
      </c>
      <c r="L58" s="188"/>
      <c r="M58" s="188"/>
    </row>
    <row r="59" spans="8:13" x14ac:dyDescent="0.25">
      <c r="H59" t="s">
        <v>436</v>
      </c>
      <c r="J59" s="12">
        <f>+eventual!J51</f>
        <v>2289.6</v>
      </c>
      <c r="L59" s="188"/>
      <c r="M59" s="188"/>
    </row>
    <row r="60" spans="8:13" x14ac:dyDescent="0.25">
      <c r="H60" t="s">
        <v>444</v>
      </c>
      <c r="J60" s="12">
        <f>+eventual!J68</f>
        <v>4860</v>
      </c>
      <c r="L60" s="188"/>
      <c r="M60" s="188"/>
    </row>
    <row r="61" spans="8:13" x14ac:dyDescent="0.25">
      <c r="H61" t="s">
        <v>437</v>
      </c>
      <c r="J61" s="12">
        <f>+eventual!J82</f>
        <v>3434.4</v>
      </c>
      <c r="L61" s="188"/>
      <c r="M61" s="188"/>
    </row>
    <row r="62" spans="8:13" x14ac:dyDescent="0.25">
      <c r="H62" t="s">
        <v>438</v>
      </c>
      <c r="J62" s="12">
        <f>+eventual!J138</f>
        <v>2160</v>
      </c>
      <c r="L62" s="188"/>
      <c r="M62" s="188"/>
    </row>
    <row r="63" spans="8:13" x14ac:dyDescent="0.25">
      <c r="H63" t="s">
        <v>441</v>
      </c>
      <c r="J63" s="12">
        <f>+eventual!J168</f>
        <v>3434.4</v>
      </c>
      <c r="L63" s="188"/>
      <c r="M63" s="188"/>
    </row>
    <row r="64" spans="8:13" x14ac:dyDescent="0.25">
      <c r="H64" t="s">
        <v>442</v>
      </c>
      <c r="J64" s="12">
        <f>+eventual!J69</f>
        <v>4142.32</v>
      </c>
      <c r="L64" s="188"/>
      <c r="M64" s="188"/>
    </row>
    <row r="65" spans="8:13" x14ac:dyDescent="0.25">
      <c r="H65" t="s">
        <v>443</v>
      </c>
      <c r="J65" s="12">
        <f>+eventual!J50</f>
        <v>2289.6</v>
      </c>
      <c r="L65" s="188"/>
      <c r="M65" s="188"/>
    </row>
    <row r="66" spans="8:13" ht="15.75" x14ac:dyDescent="0.25">
      <c r="J66" s="67">
        <f>SUM(J40:J65)</f>
        <v>74547.839999999997</v>
      </c>
      <c r="L66" s="188"/>
      <c r="M66" s="188"/>
    </row>
    <row r="67" spans="8:13" x14ac:dyDescent="0.25">
      <c r="J67" s="12"/>
      <c r="L67" s="188"/>
      <c r="M67" s="188"/>
    </row>
    <row r="68" spans="8:13" x14ac:dyDescent="0.25">
      <c r="H68" s="194" t="s">
        <v>469</v>
      </c>
      <c r="L68" s="188"/>
      <c r="M68" s="188"/>
    </row>
    <row r="69" spans="8:13" x14ac:dyDescent="0.25">
      <c r="H69" t="s">
        <v>156</v>
      </c>
      <c r="J69" s="3">
        <f>+CONFIANZA!L65</f>
        <v>5052.9016000000001</v>
      </c>
      <c r="L69" s="188"/>
      <c r="M69" s="188"/>
    </row>
    <row r="70" spans="8:13" x14ac:dyDescent="0.25">
      <c r="H70" t="s">
        <v>489</v>
      </c>
      <c r="J70" s="3">
        <f>+eventual!J137</f>
        <v>5023.674</v>
      </c>
      <c r="L70" s="188"/>
      <c r="M70" s="188"/>
    </row>
    <row r="71" spans="8:13" x14ac:dyDescent="0.25">
      <c r="H71" t="s">
        <v>493</v>
      </c>
      <c r="J71" s="3">
        <f>+CONFIANZA!L34</f>
        <v>8123.3232719999996</v>
      </c>
      <c r="L71" s="188"/>
      <c r="M71" s="188"/>
    </row>
    <row r="72" spans="8:13" ht="18.75" x14ac:dyDescent="0.3">
      <c r="J72" s="128">
        <f>SUM(J69:J71)</f>
        <v>18199.898871999998</v>
      </c>
    </row>
    <row r="73" spans="8:13" x14ac:dyDescent="0.25">
      <c r="L73" s="188"/>
      <c r="M73" s="188"/>
    </row>
    <row r="74" spans="8:13" x14ac:dyDescent="0.25">
      <c r="H74" s="194" t="s">
        <v>267</v>
      </c>
      <c r="L74" s="188"/>
    </row>
    <row r="75" spans="8:13" x14ac:dyDescent="0.25">
      <c r="H75" t="s">
        <v>510</v>
      </c>
      <c r="J75" s="155">
        <f>+SINDICATO!O45</f>
        <v>3670.4331200000001</v>
      </c>
    </row>
    <row r="76" spans="8:13" ht="15.75" x14ac:dyDescent="0.25">
      <c r="J76" s="67">
        <f>+J75</f>
        <v>3670.4331200000001</v>
      </c>
    </row>
  </sheetData>
  <mergeCells count="2">
    <mergeCell ref="D3:E3"/>
    <mergeCell ref="H1:J1"/>
  </mergeCells>
  <pageMargins left="0" right="0.15748031496062992" top="0.55118110236220474" bottom="0.55118110236220474" header="0.9842519685039370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7"/>
  <sheetViews>
    <sheetView topLeftCell="A7" workbookViewId="0">
      <selection activeCell="A23" sqref="A23:XFD39"/>
    </sheetView>
  </sheetViews>
  <sheetFormatPr baseColWidth="10" defaultRowHeight="15" x14ac:dyDescent="0.25"/>
  <cols>
    <col min="1" max="8" width="11.42578125" customWidth="1"/>
    <col min="9" max="9" width="27.7109375" customWidth="1"/>
    <col min="10" max="13" width="11.42578125" customWidth="1"/>
  </cols>
  <sheetData>
    <row r="3" spans="1:10" ht="15.75" x14ac:dyDescent="0.25">
      <c r="A3" s="93" t="s">
        <v>507</v>
      </c>
    </row>
    <row r="4" spans="1:10" x14ac:dyDescent="0.25">
      <c r="A4" s="94" t="s">
        <v>320</v>
      </c>
      <c r="B4" s="94" t="s">
        <v>321</v>
      </c>
      <c r="C4" s="94" t="s">
        <v>322</v>
      </c>
      <c r="D4" s="94" t="s">
        <v>323</v>
      </c>
    </row>
    <row r="5" spans="1:10" x14ac:dyDescent="0.25">
      <c r="A5" s="94"/>
      <c r="B5" s="94"/>
      <c r="C5" s="94"/>
      <c r="D5" s="94" t="s">
        <v>324</v>
      </c>
    </row>
    <row r="6" spans="1:10" x14ac:dyDescent="0.25">
      <c r="A6" s="94" t="s">
        <v>325</v>
      </c>
      <c r="B6" s="94" t="s">
        <v>325</v>
      </c>
      <c r="C6" s="94" t="s">
        <v>325</v>
      </c>
      <c r="D6" s="94" t="s">
        <v>326</v>
      </c>
    </row>
    <row r="7" spans="1:10" x14ac:dyDescent="0.25">
      <c r="A7" s="94">
        <v>0.01</v>
      </c>
      <c r="B7" s="94">
        <v>368.1</v>
      </c>
      <c r="C7" s="94">
        <v>0</v>
      </c>
      <c r="D7" s="96">
        <v>1.9199999999999998E-2</v>
      </c>
      <c r="I7" s="98"/>
      <c r="J7" s="98"/>
    </row>
    <row r="8" spans="1:10" x14ac:dyDescent="0.25">
      <c r="A8" s="94">
        <v>368.11</v>
      </c>
      <c r="B8" s="95">
        <v>3124.35</v>
      </c>
      <c r="C8" s="94">
        <v>7.05</v>
      </c>
      <c r="D8" s="96">
        <v>6.4000000000000001E-2</v>
      </c>
      <c r="I8" s="98"/>
      <c r="J8" s="98"/>
    </row>
    <row r="9" spans="1:10" x14ac:dyDescent="0.25">
      <c r="A9" s="95">
        <v>3124.36</v>
      </c>
      <c r="B9" s="95">
        <v>5490.75</v>
      </c>
      <c r="C9" s="94">
        <v>183.45</v>
      </c>
      <c r="D9" s="96">
        <v>0.10879999999999999</v>
      </c>
      <c r="I9" s="98"/>
      <c r="J9" s="98"/>
    </row>
    <row r="10" spans="1:10" x14ac:dyDescent="0.25">
      <c r="A10" s="95">
        <v>5490.76</v>
      </c>
      <c r="B10" s="95">
        <v>6382.8</v>
      </c>
      <c r="C10" s="94">
        <v>441</v>
      </c>
      <c r="D10" s="97">
        <v>0.16</v>
      </c>
      <c r="I10" s="220"/>
      <c r="J10" s="98"/>
    </row>
    <row r="11" spans="1:10" x14ac:dyDescent="0.25">
      <c r="A11" s="95">
        <v>6382.81</v>
      </c>
      <c r="B11" s="95">
        <v>7641.9</v>
      </c>
      <c r="C11" s="94">
        <v>583.65</v>
      </c>
      <c r="D11" s="96">
        <v>0.1792</v>
      </c>
      <c r="I11" s="98"/>
      <c r="J11" s="98"/>
    </row>
    <row r="12" spans="1:10" x14ac:dyDescent="0.25">
      <c r="A12" s="95">
        <v>7641.91</v>
      </c>
      <c r="B12" s="95">
        <v>15412.8</v>
      </c>
      <c r="C12" s="94">
        <v>809.25</v>
      </c>
      <c r="D12" s="96">
        <v>0.21360000000000001</v>
      </c>
      <c r="I12" s="98"/>
      <c r="J12" s="98"/>
    </row>
    <row r="13" spans="1:10" x14ac:dyDescent="0.25">
      <c r="A13" s="95">
        <v>15412.81</v>
      </c>
      <c r="B13" s="95">
        <v>24292.65</v>
      </c>
      <c r="C13" s="95">
        <v>2469.15</v>
      </c>
      <c r="D13" s="96">
        <v>0.23519999999999999</v>
      </c>
      <c r="I13" s="98"/>
      <c r="J13" s="98"/>
    </row>
    <row r="14" spans="1:10" x14ac:dyDescent="0.25">
      <c r="A14" s="95">
        <v>24292.66</v>
      </c>
      <c r="B14" s="95">
        <v>46378.5</v>
      </c>
      <c r="C14" s="95">
        <v>4557.75</v>
      </c>
      <c r="D14" s="97">
        <v>0.3</v>
      </c>
      <c r="I14" s="220"/>
      <c r="J14" s="98"/>
    </row>
    <row r="15" spans="1:10" x14ac:dyDescent="0.25">
      <c r="A15" s="95">
        <v>46378.51</v>
      </c>
      <c r="B15" s="95">
        <v>61838.1</v>
      </c>
      <c r="C15" s="95">
        <v>11183.4</v>
      </c>
      <c r="D15" s="97">
        <v>0.32</v>
      </c>
      <c r="I15" s="220"/>
      <c r="J15" s="98"/>
    </row>
    <row r="16" spans="1:10" x14ac:dyDescent="0.25">
      <c r="A16" s="95">
        <v>61838.11</v>
      </c>
      <c r="B16" s="95">
        <v>185514.3</v>
      </c>
      <c r="C16" s="95">
        <v>16130.55</v>
      </c>
      <c r="D16" s="97">
        <v>0.34</v>
      </c>
      <c r="I16" s="220"/>
      <c r="J16" s="98"/>
    </row>
    <row r="17" spans="1:10" x14ac:dyDescent="0.25">
      <c r="A17" s="95">
        <v>185514.31</v>
      </c>
      <c r="B17" s="94">
        <v>9999999</v>
      </c>
      <c r="C17" s="95">
        <v>58180.35</v>
      </c>
      <c r="D17" s="97">
        <v>0.35</v>
      </c>
      <c r="I17" s="220"/>
      <c r="J17" s="98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32"/>
  <sheetViews>
    <sheetView zoomScale="90" zoomScaleNormal="90" workbookViewId="0">
      <selection activeCell="D1" sqref="D1:K26"/>
    </sheetView>
  </sheetViews>
  <sheetFormatPr baseColWidth="10" defaultRowHeight="15" x14ac:dyDescent="0.25"/>
  <cols>
    <col min="2" max="2" width="2.5703125" customWidth="1"/>
    <col min="3" max="3" width="3.7109375" customWidth="1"/>
    <col min="4" max="4" width="28" customWidth="1"/>
    <col min="5" max="5" width="9.5703125" hidden="1" customWidth="1"/>
    <col min="6" max="6" width="6.5703125" customWidth="1"/>
    <col min="7" max="7" width="56.85546875" bestFit="1" customWidth="1"/>
    <col min="8" max="8" width="25.5703125" customWidth="1"/>
    <col min="9" max="9" width="27" customWidth="1"/>
    <col min="10" max="10" width="36.85546875" customWidth="1"/>
  </cols>
  <sheetData>
    <row r="2" spans="4:11" ht="21" x14ac:dyDescent="0.35">
      <c r="D2" s="252" t="s">
        <v>95</v>
      </c>
      <c r="E2" s="252"/>
      <c r="F2" s="252"/>
      <c r="G2" s="252"/>
      <c r="H2" s="252"/>
      <c r="I2" s="252"/>
      <c r="J2" s="252"/>
      <c r="K2" s="112"/>
    </row>
    <row r="3" spans="4:11" ht="21" x14ac:dyDescent="0.35">
      <c r="D3" s="252" t="s">
        <v>96</v>
      </c>
      <c r="E3" s="252"/>
      <c r="F3" s="252"/>
      <c r="G3" s="252"/>
      <c r="H3" s="252"/>
      <c r="I3" s="252"/>
      <c r="J3" s="252"/>
      <c r="K3" s="112"/>
    </row>
    <row r="4" spans="4:11" ht="21" x14ac:dyDescent="0.35">
      <c r="D4" s="252" t="s">
        <v>487</v>
      </c>
      <c r="E4" s="252"/>
      <c r="F4" s="252"/>
      <c r="G4" s="252"/>
      <c r="H4" s="252"/>
      <c r="I4" s="252"/>
      <c r="J4" s="252"/>
      <c r="K4" s="112"/>
    </row>
    <row r="5" spans="4:11" ht="21" x14ac:dyDescent="0.35">
      <c r="D5" s="114"/>
      <c r="E5" s="114"/>
      <c r="F5" s="114"/>
      <c r="G5" s="114"/>
      <c r="H5" s="114"/>
      <c r="I5" s="114"/>
      <c r="J5" s="166"/>
      <c r="K5" s="112"/>
    </row>
    <row r="6" spans="4:11" ht="84" x14ac:dyDescent="0.35">
      <c r="D6" s="115" t="s">
        <v>13</v>
      </c>
      <c r="E6" s="116" t="s">
        <v>97</v>
      </c>
      <c r="F6" s="116"/>
      <c r="G6" s="115" t="s">
        <v>98</v>
      </c>
      <c r="H6" s="115" t="s">
        <v>2</v>
      </c>
      <c r="I6" s="115" t="s">
        <v>3</v>
      </c>
      <c r="J6" s="115" t="s">
        <v>100</v>
      </c>
      <c r="K6" s="112"/>
    </row>
    <row r="7" spans="4:11" ht="21" x14ac:dyDescent="0.35">
      <c r="D7" s="199"/>
      <c r="E7" s="200"/>
      <c r="F7" s="200"/>
      <c r="G7" s="199"/>
      <c r="H7" s="199"/>
      <c r="I7" s="199"/>
      <c r="J7" s="199"/>
      <c r="K7" s="112"/>
    </row>
    <row r="8" spans="4:11" ht="21" x14ac:dyDescent="0.35">
      <c r="D8" s="199"/>
      <c r="E8" s="200"/>
      <c r="F8" s="200"/>
      <c r="G8" s="199"/>
      <c r="H8" s="199"/>
      <c r="I8" s="199"/>
      <c r="J8" s="199"/>
      <c r="K8" s="112"/>
    </row>
    <row r="9" spans="4:11" ht="21" x14ac:dyDescent="0.35">
      <c r="D9" s="117"/>
      <c r="E9" s="117"/>
      <c r="F9" s="201"/>
      <c r="G9" s="117"/>
      <c r="H9" s="117"/>
      <c r="I9" s="117"/>
      <c r="J9" s="117"/>
      <c r="K9" s="112"/>
    </row>
    <row r="10" spans="4:11" ht="21" x14ac:dyDescent="0.35">
      <c r="D10" s="118" t="s">
        <v>172</v>
      </c>
      <c r="E10" s="119">
        <v>40238</v>
      </c>
      <c r="F10" s="198">
        <v>1</v>
      </c>
      <c r="G10" s="112" t="s">
        <v>474</v>
      </c>
      <c r="H10" s="112"/>
      <c r="I10" s="202">
        <v>2625</v>
      </c>
      <c r="J10" s="121"/>
      <c r="K10" s="112"/>
    </row>
    <row r="11" spans="4:11" ht="21" x14ac:dyDescent="0.35">
      <c r="D11" s="117"/>
      <c r="E11" s="117"/>
      <c r="F11" s="201"/>
      <c r="G11" s="117"/>
      <c r="H11" s="117"/>
      <c r="I11" s="117"/>
      <c r="J11" s="117"/>
      <c r="K11" s="112"/>
    </row>
    <row r="12" spans="4:11" ht="21" x14ac:dyDescent="0.35">
      <c r="D12" s="118" t="s">
        <v>172</v>
      </c>
      <c r="E12" s="119">
        <v>40179</v>
      </c>
      <c r="F12" s="198">
        <v>2</v>
      </c>
      <c r="G12" s="112" t="s">
        <v>475</v>
      </c>
      <c r="H12" s="112"/>
      <c r="I12" s="202">
        <v>2625</v>
      </c>
      <c r="J12" s="121"/>
      <c r="K12" s="112"/>
    </row>
    <row r="13" spans="4:11" ht="21" x14ac:dyDescent="0.35">
      <c r="D13" s="117"/>
      <c r="E13" s="117"/>
      <c r="F13" s="201"/>
      <c r="G13" s="117"/>
      <c r="H13" s="117"/>
      <c r="I13" s="117"/>
      <c r="J13" s="117"/>
      <c r="K13" s="112"/>
    </row>
    <row r="14" spans="4:11" ht="21" x14ac:dyDescent="0.35">
      <c r="D14" s="118" t="s">
        <v>172</v>
      </c>
      <c r="E14" s="119">
        <v>40360</v>
      </c>
      <c r="F14" s="198">
        <v>3</v>
      </c>
      <c r="G14" s="112" t="s">
        <v>476</v>
      </c>
      <c r="H14" s="112"/>
      <c r="I14" s="202">
        <v>2625</v>
      </c>
      <c r="J14" s="121"/>
      <c r="K14" s="112"/>
    </row>
    <row r="15" spans="4:11" ht="21" x14ac:dyDescent="0.35">
      <c r="D15" s="117"/>
      <c r="E15" s="117"/>
      <c r="F15" s="201"/>
      <c r="G15" s="117"/>
      <c r="H15" s="117"/>
      <c r="I15" s="117"/>
      <c r="J15" s="117"/>
      <c r="K15" s="112"/>
    </row>
    <row r="16" spans="4:11" ht="21" x14ac:dyDescent="0.35">
      <c r="D16" s="118" t="s">
        <v>172</v>
      </c>
      <c r="E16" s="119"/>
      <c r="F16" s="198">
        <v>4</v>
      </c>
      <c r="G16" s="112" t="s">
        <v>477</v>
      </c>
      <c r="H16" s="112"/>
      <c r="I16" s="202">
        <v>2625</v>
      </c>
      <c r="J16" s="121"/>
      <c r="K16" s="112"/>
    </row>
    <row r="17" spans="4:11" ht="21" x14ac:dyDescent="0.35">
      <c r="D17" s="117"/>
      <c r="E17" s="117"/>
      <c r="F17" s="201"/>
      <c r="G17" s="117"/>
      <c r="H17" s="117"/>
      <c r="I17" s="117"/>
      <c r="J17" s="117"/>
      <c r="K17" s="112"/>
    </row>
    <row r="18" spans="4:11" ht="21" x14ac:dyDescent="0.35">
      <c r="D18" s="118"/>
      <c r="E18" s="119"/>
      <c r="F18" s="198"/>
      <c r="G18" s="112"/>
      <c r="H18" s="112"/>
      <c r="I18" s="120">
        <f>SUM(I10:I17)</f>
        <v>10500</v>
      </c>
      <c r="J18" s="112"/>
      <c r="K18" s="112"/>
    </row>
    <row r="19" spans="4:11" ht="21" x14ac:dyDescent="0.35">
      <c r="D19" s="118"/>
      <c r="E19" s="112"/>
      <c r="F19" s="198"/>
      <c r="G19" s="112"/>
      <c r="H19" s="112"/>
      <c r="I19" s="203"/>
      <c r="J19" s="112"/>
      <c r="K19" s="112"/>
    </row>
    <row r="20" spans="4:11" ht="21" x14ac:dyDescent="0.35">
      <c r="D20" s="112"/>
      <c r="E20" s="112"/>
      <c r="F20" s="198"/>
      <c r="G20" s="112"/>
      <c r="H20" s="112"/>
      <c r="I20" s="203"/>
      <c r="J20" s="112"/>
      <c r="K20" s="112"/>
    </row>
    <row r="21" spans="4:11" ht="21" x14ac:dyDescent="0.35">
      <c r="D21" s="112"/>
      <c r="E21" s="112"/>
      <c r="F21" s="198"/>
      <c r="G21" s="112"/>
      <c r="H21" s="112"/>
      <c r="I21" s="203"/>
      <c r="J21" s="112"/>
      <c r="K21" s="112"/>
    </row>
    <row r="22" spans="4:11" ht="21" x14ac:dyDescent="0.35">
      <c r="D22" s="112"/>
      <c r="E22" s="112"/>
      <c r="F22" s="198"/>
      <c r="G22" s="112"/>
      <c r="H22" s="112"/>
      <c r="I22" s="112"/>
      <c r="J22" s="112"/>
      <c r="K22" s="112"/>
    </row>
    <row r="23" spans="4:11" ht="21" x14ac:dyDescent="0.35">
      <c r="D23" s="112"/>
      <c r="E23" s="112"/>
      <c r="F23" s="198"/>
      <c r="G23" s="121"/>
      <c r="H23" s="205"/>
      <c r="I23" s="121"/>
      <c r="J23" s="121"/>
      <c r="K23" s="121"/>
    </row>
    <row r="24" spans="4:11" ht="21" x14ac:dyDescent="0.35">
      <c r="D24" s="112"/>
      <c r="E24" s="112"/>
      <c r="F24" s="198"/>
      <c r="G24" s="198" t="s">
        <v>236</v>
      </c>
      <c r="H24" s="198"/>
      <c r="I24" s="257" t="s">
        <v>242</v>
      </c>
      <c r="J24" s="257"/>
      <c r="K24" s="257"/>
    </row>
    <row r="25" spans="4:11" ht="21" x14ac:dyDescent="0.35">
      <c r="D25" s="112"/>
      <c r="E25" s="112"/>
      <c r="F25" s="198"/>
      <c r="G25" s="198" t="s">
        <v>18</v>
      </c>
      <c r="H25" s="112"/>
      <c r="I25" s="258" t="s">
        <v>19</v>
      </c>
      <c r="J25" s="258"/>
      <c r="K25" s="258"/>
    </row>
    <row r="26" spans="4:11" ht="21" x14ac:dyDescent="0.35">
      <c r="D26" s="112"/>
      <c r="E26" s="112"/>
      <c r="F26" s="198"/>
      <c r="G26" s="112"/>
      <c r="H26" s="112"/>
      <c r="I26" s="112"/>
      <c r="J26" s="112"/>
      <c r="K26" s="112"/>
    </row>
    <row r="27" spans="4:11" ht="21" x14ac:dyDescent="0.35">
      <c r="D27" s="112"/>
      <c r="E27" s="112"/>
      <c r="F27" s="198"/>
      <c r="G27" s="112"/>
      <c r="H27" s="112"/>
      <c r="I27" s="204"/>
      <c r="J27" s="112"/>
      <c r="K27" s="112"/>
    </row>
    <row r="28" spans="4:11" x14ac:dyDescent="0.25">
      <c r="F28" s="24"/>
    </row>
    <row r="29" spans="4:11" x14ac:dyDescent="0.25">
      <c r="F29" s="24"/>
      <c r="I29" s="181"/>
    </row>
    <row r="30" spans="4:11" x14ac:dyDescent="0.25">
      <c r="F30" s="24"/>
    </row>
    <row r="31" spans="4:11" x14ac:dyDescent="0.25">
      <c r="F31" s="24"/>
    </row>
    <row r="32" spans="4:11" x14ac:dyDescent="0.25">
      <c r="F32" s="24"/>
    </row>
  </sheetData>
  <mergeCells count="5">
    <mergeCell ref="I24:K24"/>
    <mergeCell ref="D4:J4"/>
    <mergeCell ref="I25:K25"/>
    <mergeCell ref="D2:J2"/>
    <mergeCell ref="D3:J3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SINDICATO</vt:lpstr>
      <vt:lpstr>seg.pub.2022</vt:lpstr>
      <vt:lpstr>eventual</vt:lpstr>
      <vt:lpstr>CONFIANZA</vt:lpstr>
      <vt:lpstr>delegados 2022</vt:lpstr>
      <vt:lpstr>OP</vt:lpstr>
      <vt:lpstr>BANORTE </vt:lpstr>
      <vt:lpstr>ISR</vt:lpstr>
      <vt:lpstr>Nos vemos segura</vt:lpstr>
      <vt:lpstr>Secovin</vt:lpstr>
      <vt:lpstr>'BANORTE '!Área_de_impresión</vt:lpstr>
      <vt:lpstr>CONFIANZA!Área_de_impresión</vt:lpstr>
      <vt:lpstr>'delegados 2022'!Área_de_impresión</vt:lpstr>
      <vt:lpstr>eventual!Área_de_impresión</vt:lpstr>
      <vt:lpstr>OP!Área_de_impresión</vt:lpstr>
      <vt:lpstr>seg.pub.2022!Área_de_impresión</vt:lpstr>
      <vt:lpstr>SINDICATO!Área_de_impresión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CALDERON ZEPEDA</dc:creator>
  <cp:lastModifiedBy>USER</cp:lastModifiedBy>
  <cp:lastPrinted>2023-01-13T18:54:41Z</cp:lastPrinted>
  <dcterms:created xsi:type="dcterms:W3CDTF">2016-01-14T15:40:28Z</dcterms:created>
  <dcterms:modified xsi:type="dcterms:W3CDTF">2023-10-24T17:37:18Z</dcterms:modified>
</cp:coreProperties>
</file>